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 tabRatio="696" activeTab="11"/>
  </bookViews>
  <sheets>
    <sheet name="День 1" sheetId="2" r:id="rId1"/>
    <sheet name="День 2" sheetId="4" r:id="rId2"/>
    <sheet name="День 3" sheetId="5" r:id="rId3"/>
    <sheet name="День 4" sheetId="6" r:id="rId4"/>
    <sheet name="День 5" sheetId="8" r:id="rId5"/>
    <sheet name="День 6" sheetId="9" r:id="rId6"/>
    <sheet name="День 7" sheetId="10" r:id="rId7"/>
    <sheet name="День 8" sheetId="11" r:id="rId8"/>
    <sheet name="День 9" sheetId="12" r:id="rId9"/>
    <sheet name="День 10" sheetId="13" r:id="rId10"/>
    <sheet name="День 11" sheetId="14" r:id="rId11"/>
    <sheet name="День 12" sheetId="15" r:id="rId12"/>
    <sheet name="Лист1" sheetId="16" r:id="rId13"/>
  </sheets>
  <definedNames>
    <definedName name="_xlnm.Print_Area" localSheetId="0">'День 1'!$A$1:$H$21</definedName>
    <definedName name="_xlnm.Print_Area" localSheetId="9">'День 10'!$A$1:$G$22</definedName>
    <definedName name="_xlnm.Print_Area" localSheetId="10">'День 11'!$A$1:$I$22</definedName>
    <definedName name="_xlnm.Print_Area" localSheetId="11">'День 12'!$A$1:$J$18</definedName>
    <definedName name="_xlnm.Print_Area" localSheetId="1">'День 2'!$A$1:$H$22</definedName>
    <definedName name="_xlnm.Print_Area" localSheetId="3">'День 4'!$A$1:$I$22</definedName>
    <definedName name="_xlnm.Print_Area" localSheetId="4">'День 5'!$A$1:$H$22</definedName>
    <definedName name="_xlnm.Print_Area" localSheetId="5">'День 6'!$A$1:$J$23</definedName>
    <definedName name="_xlnm.Print_Area" localSheetId="6">'День 7'!$A$1:$H$24</definedName>
    <definedName name="_xlnm.Print_Area" localSheetId="8">'День 9'!$A$1:$G$20</definedName>
  </definedNames>
  <calcPr calcId="144525"/>
</workbook>
</file>

<file path=xl/calcChain.xml><?xml version="1.0" encoding="utf-8"?>
<calcChain xmlns="http://schemas.openxmlformats.org/spreadsheetml/2006/main">
  <c r="F7" i="2" l="1"/>
  <c r="G7" i="2" s="1"/>
  <c r="E7" i="2"/>
  <c r="D7" i="2"/>
  <c r="F7" i="5"/>
  <c r="G7" i="5" s="1"/>
  <c r="E7" i="5"/>
  <c r="D7" i="5"/>
  <c r="F7" i="6"/>
  <c r="G7" i="6" s="1"/>
  <c r="E7" i="6"/>
  <c r="D7" i="6"/>
  <c r="F8" i="8"/>
  <c r="G8" i="8" s="1"/>
  <c r="E8" i="8"/>
  <c r="D8" i="8"/>
  <c r="F7" i="9"/>
  <c r="G7" i="9" s="1"/>
  <c r="E7" i="9"/>
  <c r="D7" i="9"/>
  <c r="F7" i="10"/>
  <c r="G7" i="10" s="1"/>
  <c r="E7" i="10"/>
  <c r="D7" i="10"/>
  <c r="F7" i="11"/>
  <c r="G7" i="11" s="1"/>
  <c r="E7" i="11"/>
  <c r="D7" i="11"/>
  <c r="F7" i="12"/>
  <c r="G7" i="12" s="1"/>
  <c r="E7" i="12"/>
  <c r="D7" i="12"/>
  <c r="F7" i="13"/>
  <c r="G7" i="13" s="1"/>
  <c r="E7" i="13"/>
  <c r="D7" i="13"/>
  <c r="F7" i="14"/>
  <c r="G7" i="14" s="1"/>
  <c r="E7" i="14"/>
  <c r="D7" i="14"/>
  <c r="G7" i="15"/>
  <c r="F7" i="15"/>
  <c r="E7" i="15"/>
  <c r="D7" i="15"/>
  <c r="D8" i="11" l="1"/>
  <c r="E8" i="11"/>
  <c r="F8" i="11"/>
  <c r="G8" i="11"/>
  <c r="F13" i="14" l="1"/>
  <c r="G13" i="14" s="1"/>
  <c r="E13" i="14"/>
  <c r="D13" i="14"/>
  <c r="F13" i="9"/>
  <c r="E13" i="9"/>
  <c r="D13" i="9"/>
  <c r="G13" i="9" l="1"/>
  <c r="G13" i="12"/>
  <c r="F13" i="12"/>
  <c r="E13" i="12"/>
  <c r="D13" i="12"/>
  <c r="G13" i="8"/>
  <c r="F13" i="8"/>
  <c r="E13" i="8"/>
  <c r="D13" i="8"/>
  <c r="G6" i="14"/>
  <c r="F6" i="14"/>
  <c r="E6" i="14"/>
  <c r="D6" i="14"/>
  <c r="G7" i="8"/>
  <c r="F7" i="8"/>
  <c r="E7" i="8"/>
  <c r="D7" i="8"/>
  <c r="G8" i="14" l="1"/>
  <c r="F8" i="14"/>
  <c r="E8" i="14"/>
  <c r="D8" i="14"/>
  <c r="G16" i="13"/>
  <c r="F16" i="13"/>
  <c r="E16" i="13"/>
  <c r="D16" i="13"/>
  <c r="G8" i="10"/>
  <c r="F8" i="10"/>
  <c r="E8" i="10"/>
  <c r="D8" i="10"/>
  <c r="G8" i="6"/>
  <c r="F8" i="6"/>
  <c r="E8" i="6"/>
  <c r="D8" i="6"/>
  <c r="F9" i="8"/>
  <c r="E9" i="8"/>
  <c r="D9" i="8"/>
  <c r="G9" i="8" l="1"/>
  <c r="G11" i="13"/>
  <c r="F11" i="13"/>
  <c r="E11" i="13"/>
  <c r="D11" i="13"/>
  <c r="F11" i="14"/>
  <c r="E11" i="14"/>
  <c r="D11" i="14"/>
  <c r="G11" i="15"/>
  <c r="F11" i="15"/>
  <c r="E11" i="15"/>
  <c r="D11" i="15"/>
  <c r="G11" i="11"/>
  <c r="F11" i="11"/>
  <c r="E11" i="11"/>
  <c r="D11" i="11"/>
  <c r="G11" i="9"/>
  <c r="F11" i="9"/>
  <c r="E11" i="9"/>
  <c r="D11" i="9"/>
  <c r="G12" i="8"/>
  <c r="F12" i="8"/>
  <c r="E12" i="8"/>
  <c r="D12" i="8"/>
  <c r="G11" i="14" l="1"/>
  <c r="G11" i="5"/>
  <c r="F11" i="5"/>
  <c r="E11" i="5"/>
  <c r="D11" i="5"/>
  <c r="G6" i="15" l="1"/>
  <c r="F6" i="15"/>
  <c r="E6" i="15"/>
  <c r="D6" i="15"/>
  <c r="G6" i="6" l="1"/>
  <c r="F6" i="6"/>
  <c r="E6" i="6"/>
  <c r="D6" i="6"/>
  <c r="G14" i="2" l="1"/>
  <c r="F14" i="2"/>
  <c r="C17" i="11" l="1"/>
  <c r="C15" i="5"/>
  <c r="G14" i="5" l="1"/>
  <c r="F14" i="5"/>
  <c r="E14" i="5"/>
  <c r="D14" i="5"/>
  <c r="C9" i="5" l="1"/>
  <c r="C16" i="8"/>
  <c r="D13" i="10"/>
  <c r="G13" i="10"/>
  <c r="F13" i="10"/>
  <c r="E13" i="10"/>
  <c r="D8" i="2" l="1"/>
  <c r="E8" i="2"/>
  <c r="F8" i="2"/>
  <c r="G8" i="2" s="1"/>
  <c r="G14" i="4"/>
  <c r="G10" i="4"/>
  <c r="D14" i="2"/>
  <c r="G6" i="9" l="1"/>
  <c r="F6" i="9"/>
  <c r="E6" i="9"/>
  <c r="D6" i="9"/>
  <c r="F14" i="4"/>
  <c r="C17" i="2" l="1"/>
  <c r="G6" i="5" l="1"/>
  <c r="F6" i="5"/>
  <c r="E6" i="5"/>
  <c r="D6" i="5"/>
  <c r="F8" i="12" l="1"/>
  <c r="E8" i="12"/>
  <c r="D8" i="12"/>
  <c r="G14" i="15"/>
  <c r="F14" i="15"/>
  <c r="E14" i="15"/>
  <c r="D14" i="15"/>
  <c r="G15" i="14"/>
  <c r="F15" i="14"/>
  <c r="E15" i="14"/>
  <c r="D15" i="14"/>
  <c r="G13" i="13"/>
  <c r="F13" i="13"/>
  <c r="E13" i="13"/>
  <c r="D13" i="13"/>
  <c r="G12" i="13"/>
  <c r="F12" i="13"/>
  <c r="E12" i="13"/>
  <c r="D12" i="13"/>
  <c r="F8" i="13"/>
  <c r="E8" i="13"/>
  <c r="D8" i="13"/>
  <c r="G6" i="13"/>
  <c r="F6" i="13"/>
  <c r="E6" i="13"/>
  <c r="D6" i="13"/>
  <c r="G15" i="12"/>
  <c r="F15" i="12"/>
  <c r="E15" i="12"/>
  <c r="D15" i="12"/>
  <c r="G6" i="12"/>
  <c r="F16" i="11"/>
  <c r="E16" i="11"/>
  <c r="D16" i="11"/>
  <c r="G8" i="9"/>
  <c r="F8" i="9"/>
  <c r="E8" i="9"/>
  <c r="D8" i="9"/>
  <c r="G17" i="10"/>
  <c r="F17" i="10"/>
  <c r="E17" i="10"/>
  <c r="D17" i="10"/>
  <c r="G11" i="10"/>
  <c r="F11" i="10"/>
  <c r="E11" i="10"/>
  <c r="D11" i="10"/>
  <c r="G16" i="9"/>
  <c r="F16" i="9"/>
  <c r="E16" i="9"/>
  <c r="D16" i="9"/>
  <c r="F15" i="8"/>
  <c r="E15" i="8"/>
  <c r="D15" i="8"/>
  <c r="G15" i="6"/>
  <c r="F15" i="6"/>
  <c r="E15" i="6"/>
  <c r="D15" i="6"/>
  <c r="F8" i="5"/>
  <c r="E8" i="5"/>
  <c r="D8" i="5"/>
  <c r="F16" i="4"/>
  <c r="E16" i="4"/>
  <c r="D16" i="4"/>
  <c r="E14" i="4"/>
  <c r="D14" i="4"/>
  <c r="F10" i="4"/>
  <c r="E10" i="4"/>
  <c r="D10" i="4"/>
  <c r="G7" i="4"/>
  <c r="F7" i="4"/>
  <c r="E7" i="4"/>
  <c r="D7" i="4"/>
  <c r="G6" i="4"/>
  <c r="F6" i="4"/>
  <c r="E6" i="4"/>
  <c r="D6" i="4"/>
  <c r="G15" i="8" l="1"/>
  <c r="G8" i="13"/>
  <c r="G8" i="12"/>
  <c r="G16" i="11"/>
  <c r="G16" i="2"/>
  <c r="F16" i="2"/>
  <c r="E16" i="2"/>
  <c r="D16" i="2"/>
  <c r="F15" i="2"/>
  <c r="G12" i="2"/>
  <c r="F12" i="2"/>
  <c r="E12" i="2"/>
  <c r="D12" i="2"/>
  <c r="G11" i="2"/>
  <c r="F11" i="2"/>
  <c r="E11" i="2"/>
  <c r="D11" i="2"/>
  <c r="F6" i="2" l="1"/>
  <c r="E6" i="2"/>
  <c r="D6" i="2"/>
  <c r="C16" i="6" l="1"/>
  <c r="D12" i="6"/>
  <c r="E12" i="6"/>
  <c r="F12" i="6"/>
  <c r="F11" i="4"/>
  <c r="E11" i="4"/>
  <c r="D11" i="4"/>
  <c r="F14" i="8"/>
  <c r="E14" i="8"/>
  <c r="D14" i="8"/>
  <c r="G13" i="2"/>
  <c r="F13" i="2"/>
  <c r="E13" i="2"/>
  <c r="D13" i="2"/>
  <c r="F6" i="10"/>
  <c r="E6" i="10"/>
  <c r="D6" i="10"/>
  <c r="G11" i="4" l="1"/>
  <c r="G6" i="10"/>
  <c r="G14" i="8"/>
  <c r="G12" i="6"/>
  <c r="F9" i="15"/>
  <c r="C15" i="15" l="1"/>
  <c r="F12" i="9"/>
  <c r="E12" i="9"/>
  <c r="D12" i="9"/>
  <c r="F12" i="10"/>
  <c r="E12" i="10"/>
  <c r="D12" i="10"/>
  <c r="C10" i="8"/>
  <c r="G12" i="9" l="1"/>
  <c r="G12" i="10"/>
  <c r="C9" i="9" l="1"/>
  <c r="C9" i="14"/>
  <c r="F9" i="5" l="1"/>
  <c r="E9" i="5"/>
  <c r="D9" i="5"/>
  <c r="C16" i="14" l="1"/>
  <c r="C17" i="13"/>
  <c r="C9" i="13"/>
  <c r="C16" i="12"/>
  <c r="C9" i="12"/>
  <c r="C9" i="11" l="1"/>
  <c r="C18" i="10"/>
  <c r="C9" i="10"/>
  <c r="C17" i="9"/>
  <c r="F15" i="4"/>
  <c r="E15" i="4"/>
  <c r="D15" i="4"/>
  <c r="D13" i="15"/>
  <c r="E13" i="15"/>
  <c r="F13" i="15"/>
  <c r="F10" i="8"/>
  <c r="E10" i="8"/>
  <c r="D10" i="8"/>
  <c r="C9" i="6"/>
  <c r="C17" i="4"/>
  <c r="C8" i="4"/>
  <c r="C9" i="2"/>
  <c r="C9" i="15"/>
  <c r="G15" i="4" l="1"/>
  <c r="F15" i="15"/>
  <c r="D15" i="15"/>
  <c r="G13" i="15"/>
  <c r="E15" i="15"/>
  <c r="G10" i="8"/>
  <c r="E11" i="6"/>
  <c r="G15" i="15" l="1"/>
  <c r="F11" i="6"/>
  <c r="D11" i="6"/>
  <c r="F16" i="8"/>
  <c r="E16" i="8"/>
  <c r="D16" i="8"/>
  <c r="F15" i="9"/>
  <c r="E15" i="9"/>
  <c r="D15" i="9"/>
  <c r="F9" i="9"/>
  <c r="E9" i="9"/>
  <c r="D9" i="9"/>
  <c r="F14" i="13"/>
  <c r="E14" i="13"/>
  <c r="D14" i="13"/>
  <c r="F14" i="6"/>
  <c r="E14" i="6"/>
  <c r="D14" i="6"/>
  <c r="F9" i="6"/>
  <c r="E9" i="6"/>
  <c r="D9" i="6"/>
  <c r="F13" i="5"/>
  <c r="E13" i="5"/>
  <c r="D13" i="5"/>
  <c r="G8" i="5"/>
  <c r="G9" i="5" s="1"/>
  <c r="F12" i="14"/>
  <c r="E12" i="14"/>
  <c r="D12" i="14"/>
  <c r="F9" i="14"/>
  <c r="E9" i="14"/>
  <c r="D9" i="14"/>
  <c r="D6" i="12"/>
  <c r="F6" i="12"/>
  <c r="F9" i="12" s="1"/>
  <c r="E6" i="12"/>
  <c r="E9" i="12" s="1"/>
  <c r="D9" i="15"/>
  <c r="F14" i="14"/>
  <c r="E14" i="14"/>
  <c r="D14" i="14"/>
  <c r="F15" i="13"/>
  <c r="E15" i="13"/>
  <c r="D15" i="13"/>
  <c r="E17" i="13"/>
  <c r="D9" i="13"/>
  <c r="F9" i="13"/>
  <c r="F14" i="12"/>
  <c r="E14" i="12"/>
  <c r="D14" i="12"/>
  <c r="F15" i="11"/>
  <c r="E15" i="11"/>
  <c r="D15" i="11"/>
  <c r="D17" i="11"/>
  <c r="F9" i="11"/>
  <c r="E9" i="11"/>
  <c r="D9" i="11"/>
  <c r="F16" i="10"/>
  <c r="E16" i="10"/>
  <c r="D16" i="10"/>
  <c r="F14" i="10"/>
  <c r="E14" i="10"/>
  <c r="D14" i="10"/>
  <c r="D9" i="10"/>
  <c r="F9" i="10"/>
  <c r="E14" i="2"/>
  <c r="G16" i="4"/>
  <c r="E15" i="2"/>
  <c r="D15" i="2"/>
  <c r="F9" i="2"/>
  <c r="D9" i="2"/>
  <c r="D15" i="5" l="1"/>
  <c r="E15" i="5"/>
  <c r="F15" i="5"/>
  <c r="G15" i="2"/>
  <c r="D16" i="6"/>
  <c r="D18" i="6" s="1"/>
  <c r="E16" i="6"/>
  <c r="E18" i="6" s="1"/>
  <c r="D16" i="14"/>
  <c r="D18" i="14" s="1"/>
  <c r="D17" i="2"/>
  <c r="D19" i="2" s="1"/>
  <c r="F16" i="14"/>
  <c r="F18" i="14" s="1"/>
  <c r="F16" i="6"/>
  <c r="F18" i="6" s="1"/>
  <c r="E17" i="11"/>
  <c r="E19" i="11" s="1"/>
  <c r="E16" i="14"/>
  <c r="E18" i="14" s="1"/>
  <c r="E16" i="12"/>
  <c r="E18" i="12" s="1"/>
  <c r="F16" i="12"/>
  <c r="F18" i="12" s="1"/>
  <c r="D16" i="12"/>
  <c r="G11" i="6"/>
  <c r="D19" i="11"/>
  <c r="E18" i="10"/>
  <c r="E18" i="8"/>
  <c r="G17" i="4"/>
  <c r="F17" i="15"/>
  <c r="G9" i="10"/>
  <c r="G15" i="11"/>
  <c r="D17" i="15"/>
  <c r="G16" i="8"/>
  <c r="G18" i="8" s="1"/>
  <c r="G14" i="6"/>
  <c r="E9" i="15"/>
  <c r="G9" i="14"/>
  <c r="G14" i="14"/>
  <c r="F17" i="11"/>
  <c r="F19" i="11" s="1"/>
  <c r="E9" i="10"/>
  <c r="G16" i="10"/>
  <c r="D8" i="4"/>
  <c r="D17" i="9"/>
  <c r="D19" i="9" s="1"/>
  <c r="F17" i="9"/>
  <c r="F19" i="9" s="1"/>
  <c r="G12" i="14"/>
  <c r="G14" i="10"/>
  <c r="D18" i="8"/>
  <c r="E17" i="9"/>
  <c r="E19" i="9" s="1"/>
  <c r="G15" i="9"/>
  <c r="F18" i="8"/>
  <c r="D9" i="12"/>
  <c r="G13" i="5"/>
  <c r="G9" i="6"/>
  <c r="F8" i="4"/>
  <c r="E9" i="2"/>
  <c r="E17" i="2"/>
  <c r="D17" i="4"/>
  <c r="E17" i="4"/>
  <c r="E8" i="4"/>
  <c r="F17" i="2"/>
  <c r="F19" i="2" s="1"/>
  <c r="G15" i="13"/>
  <c r="E9" i="13"/>
  <c r="E19" i="13" s="1"/>
  <c r="D17" i="13"/>
  <c r="D19" i="13" s="1"/>
  <c r="G9" i="13"/>
  <c r="G14" i="12"/>
  <c r="G9" i="15"/>
  <c r="F17" i="13"/>
  <c r="F19" i="13" s="1"/>
  <c r="G9" i="12"/>
  <c r="D18" i="10"/>
  <c r="D20" i="10" s="1"/>
  <c r="G9" i="11"/>
  <c r="F18" i="10"/>
  <c r="F20" i="10" s="1"/>
  <c r="F17" i="4"/>
  <c r="G15" i="5" l="1"/>
  <c r="D17" i="5"/>
  <c r="G16" i="6"/>
  <c r="G18" i="6" s="1"/>
  <c r="D19" i="4"/>
  <c r="G17" i="2"/>
  <c r="G16" i="12"/>
  <c r="G18" i="12" s="1"/>
  <c r="E20" i="10"/>
  <c r="E17" i="5"/>
  <c r="E19" i="2"/>
  <c r="G16" i="14"/>
  <c r="G18" i="14" s="1"/>
  <c r="F17" i="5"/>
  <c r="G17" i="11"/>
  <c r="G19" i="11" s="1"/>
  <c r="G18" i="10"/>
  <c r="G20" i="10" s="1"/>
  <c r="G17" i="9"/>
  <c r="E17" i="15"/>
  <c r="D18" i="12"/>
  <c r="F19" i="4"/>
  <c r="G17" i="13"/>
  <c r="G19" i="13" s="1"/>
  <c r="E19" i="4"/>
  <c r="G9" i="9"/>
  <c r="G8" i="4"/>
  <c r="G17" i="15"/>
  <c r="G9" i="2"/>
  <c r="G19" i="2" l="1"/>
  <c r="C3" i="16"/>
  <c r="A3" i="16"/>
  <c r="B3" i="16"/>
  <c r="G19" i="9"/>
  <c r="G17" i="5"/>
  <c r="G19" i="4"/>
  <c r="A4" i="16" l="1"/>
  <c r="D3" i="16"/>
  <c r="B4" i="16"/>
</calcChain>
</file>

<file path=xl/sharedStrings.xml><?xml version="1.0" encoding="utf-8"?>
<sst xmlns="http://schemas.openxmlformats.org/spreadsheetml/2006/main" count="367" uniqueCount="104">
  <si>
    <t>№ рец.</t>
  </si>
  <si>
    <t>Наименование блюда</t>
  </si>
  <si>
    <t>Масса порции</t>
  </si>
  <si>
    <t>Белки</t>
  </si>
  <si>
    <t>Жиры</t>
  </si>
  <si>
    <t>Углеводы</t>
  </si>
  <si>
    <t>Пищевые вещества (г)</t>
  </si>
  <si>
    <t xml:space="preserve"> </t>
  </si>
  <si>
    <t>ЗАВТРАК</t>
  </si>
  <si>
    <t>ОБЕД</t>
  </si>
  <si>
    <t>39/2008г</t>
  </si>
  <si>
    <t>Картофельное пюре</t>
  </si>
  <si>
    <t>92/2008г</t>
  </si>
  <si>
    <t>Хлеб ржано-пшеничный</t>
  </si>
  <si>
    <t>Компот из сухофруктов</t>
  </si>
  <si>
    <t>Кофейный напиток с молоком</t>
  </si>
  <si>
    <t>148/2008г</t>
  </si>
  <si>
    <t>ИТОГО ЗА ДЕНЬ:</t>
  </si>
  <si>
    <t>ИТОГО ЗА ЗАВТРАК:</t>
  </si>
  <si>
    <t>ИТОГО ЗА ОБЕД:</t>
  </si>
  <si>
    <t>Соус томатный</t>
  </si>
  <si>
    <t>Чай с лимоном</t>
  </si>
  <si>
    <t>146/2008г</t>
  </si>
  <si>
    <t>Какао с молоком</t>
  </si>
  <si>
    <t xml:space="preserve"> Чай с сахаром</t>
  </si>
  <si>
    <t>149/2008г</t>
  </si>
  <si>
    <t>153/2008г</t>
  </si>
  <si>
    <t>Каша пшеничная молочная жидкая</t>
  </si>
  <si>
    <t>128/2008г</t>
  </si>
  <si>
    <t>60/2013г</t>
  </si>
  <si>
    <t>Щи из свежей капусты с картофелем</t>
  </si>
  <si>
    <t>41/2008г</t>
  </si>
  <si>
    <t>Макаронные изделия отварные</t>
  </si>
  <si>
    <t>97/2008г</t>
  </si>
  <si>
    <t>141/2008г</t>
  </si>
  <si>
    <t>261/2013г</t>
  </si>
  <si>
    <t>Каша пшённая молочная жидкая</t>
  </si>
  <si>
    <t>Суп картофельный с крупой</t>
  </si>
  <si>
    <t>62/2013г</t>
  </si>
  <si>
    <t>Каша овсянная "Геркулес" жидкая</t>
  </si>
  <si>
    <t>129/2008г</t>
  </si>
  <si>
    <t>Уха со взбитым яйцом</t>
  </si>
  <si>
    <t>60/2008г</t>
  </si>
  <si>
    <t>Шницель из говядины</t>
  </si>
  <si>
    <t>181/2013г</t>
  </si>
  <si>
    <t>Каша гречневая на  молоке (вязкая)</t>
  </si>
  <si>
    <t>121/2008г</t>
  </si>
  <si>
    <t>Напиток из подов шиповника</t>
  </si>
  <si>
    <t>267/2013г</t>
  </si>
  <si>
    <t>127/2008г</t>
  </si>
  <si>
    <t>День: понедельник.</t>
  </si>
  <si>
    <t>День: среда.</t>
  </si>
  <si>
    <t>День: четверг.</t>
  </si>
  <si>
    <t>День: пятница.</t>
  </si>
  <si>
    <t>День: суббота.</t>
  </si>
  <si>
    <t>Возрастная категория: 11 лет и старше.</t>
  </si>
  <si>
    <t xml:space="preserve">104/2017 </t>
  </si>
  <si>
    <t>Суп с мясными фрикадельками</t>
  </si>
  <si>
    <t>Жаркое по домашнему из говядины</t>
  </si>
  <si>
    <t>130/2008г</t>
  </si>
  <si>
    <t>Каша рисовая молочная жидкая</t>
  </si>
  <si>
    <t>Энергет. Ценность</t>
  </si>
  <si>
    <t>Энергет Ценность</t>
  </si>
  <si>
    <t>Сок  фруктовый</t>
  </si>
  <si>
    <t>342/2017</t>
  </si>
  <si>
    <t>Компот из свежих яблок</t>
  </si>
  <si>
    <t>ттк</t>
  </si>
  <si>
    <t>Гуляш из мяса кур</t>
  </si>
  <si>
    <t>пп</t>
  </si>
  <si>
    <t xml:space="preserve">Манник с творогом </t>
  </si>
  <si>
    <t>ПП</t>
  </si>
  <si>
    <t>Плов из говядины</t>
  </si>
  <si>
    <t>Каша пшенная без молока</t>
  </si>
  <si>
    <t>Котлета,рубленная из мяса кур</t>
  </si>
  <si>
    <t>Биточки из говядины</t>
  </si>
  <si>
    <t>54-6м-2020 (11 лет и старше)</t>
  </si>
  <si>
    <t xml:space="preserve">Рассольник ленинградский </t>
  </si>
  <si>
    <t>Борщ  с картофелем</t>
  </si>
  <si>
    <t>304-2017</t>
  </si>
  <si>
    <t>Рис отварной</t>
  </si>
  <si>
    <t>Каша манная молочная жидкая с маслом</t>
  </si>
  <si>
    <t>46/2008г</t>
  </si>
  <si>
    <t>Суп картофельный с макаронными изделиями</t>
  </si>
  <si>
    <t>Напиток из плодов шиповника</t>
  </si>
  <si>
    <t>268/2017</t>
  </si>
  <si>
    <t>Котлета мясная рубленая</t>
  </si>
  <si>
    <t>,</t>
  </si>
  <si>
    <t>ТТК</t>
  </si>
  <si>
    <t>Гуляш из говядины</t>
  </si>
  <si>
    <t>54-19к-2020</t>
  </si>
  <si>
    <t>Суп молочный с макаронными изделиями</t>
  </si>
  <si>
    <t>103/2013г</t>
  </si>
  <si>
    <t>Каша гречневая рассыпчатая</t>
  </si>
  <si>
    <t>280/2017г</t>
  </si>
  <si>
    <t>Фрикадельки в соусе</t>
  </si>
  <si>
    <t>47/2008г</t>
  </si>
  <si>
    <t>Суп картофельный с бобовыми</t>
  </si>
  <si>
    <t>Фрукт свежий (яблоко)</t>
  </si>
  <si>
    <t>Фруктовый напиток</t>
  </si>
  <si>
    <t>День: среда</t>
  </si>
  <si>
    <t>День: вторник</t>
  </si>
  <si>
    <t>День: суббота</t>
  </si>
  <si>
    <t>Фрукт свежий (апельсин)</t>
  </si>
  <si>
    <t>Фрук свежий(яблоко)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</si>
</sst>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rgb="FF000000"/>
      <name val="Arial Cyr"/>
    </font>
    <font>
      <sz val="10"/>
      <color rgb="FF008000"/>
      <name val="Arial Cy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49" fontId="16" fillId="0" borderId="1">
      <alignment vertical="top" wrapText="1"/>
    </xf>
    <xf numFmtId="49" fontId="16" fillId="0" borderId="1">
      <alignment vertical="top"/>
    </xf>
    <xf numFmtId="4" fontId="17" fillId="0" borderId="1">
      <alignment vertical="top" shrinkToFit="1"/>
    </xf>
  </cellStyleXfs>
  <cellXfs count="19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9" fillId="0" borderId="0" xfId="0" applyFont="1"/>
    <xf numFmtId="0" fontId="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7" fillId="2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17" fontId="1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0" fontId="5" fillId="0" borderId="1" xfId="0" applyFont="1" applyBorder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0" fillId="0" borderId="6" xfId="0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center" wrapText="1"/>
    </xf>
    <xf numFmtId="2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</cellXfs>
  <cellStyles count="5">
    <cellStyle name="st16" xfId="2"/>
    <cellStyle name="st19" xfId="4"/>
    <cellStyle name="xl26" xfId="3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Normal="110" zoomScaleSheetLayoutView="100" workbookViewId="0">
      <selection activeCell="H12" sqref="H12"/>
    </sheetView>
  </sheetViews>
  <sheetFormatPr defaultRowHeight="15" x14ac:dyDescent="0.25"/>
  <cols>
    <col min="1" max="1" width="18.7109375" customWidth="1"/>
    <col min="2" max="2" width="34.28515625" customWidth="1"/>
    <col min="3" max="3" width="7" customWidth="1"/>
    <col min="4" max="4" width="7.7109375" customWidth="1"/>
    <col min="5" max="5" width="7" customWidth="1"/>
    <col min="7" max="7" width="8.28515625" customWidth="1"/>
  </cols>
  <sheetData>
    <row r="1" spans="1:11" ht="18" customHeight="1" x14ac:dyDescent="0.25">
      <c r="A1" s="160"/>
      <c r="B1" s="160"/>
      <c r="C1" s="160"/>
      <c r="D1" s="161"/>
      <c r="E1" s="161"/>
      <c r="F1" s="161"/>
      <c r="G1" s="161"/>
      <c r="H1" s="2"/>
      <c r="I1" s="2"/>
      <c r="J1" s="2"/>
      <c r="K1" s="1"/>
    </row>
    <row r="2" spans="1:11" ht="15.75" x14ac:dyDescent="0.25">
      <c r="A2" s="70" t="s">
        <v>55</v>
      </c>
      <c r="B2" s="70"/>
      <c r="C2" s="71"/>
      <c r="D2" s="162" t="s">
        <v>50</v>
      </c>
      <c r="E2" s="162"/>
      <c r="F2" s="162"/>
      <c r="G2" s="162"/>
      <c r="H2" s="2"/>
      <c r="I2" s="9"/>
      <c r="J2" s="2"/>
      <c r="K2" s="1"/>
    </row>
    <row r="3" spans="1:11" ht="15" customHeight="1" x14ac:dyDescent="0.25">
      <c r="A3" s="163" t="s">
        <v>0</v>
      </c>
      <c r="B3" s="163" t="s">
        <v>1</v>
      </c>
      <c r="C3" s="165" t="s">
        <v>2</v>
      </c>
      <c r="D3" s="167" t="s">
        <v>6</v>
      </c>
      <c r="E3" s="168"/>
      <c r="F3" s="169"/>
      <c r="G3" s="165" t="s">
        <v>61</v>
      </c>
      <c r="H3" s="2"/>
      <c r="I3" s="2"/>
      <c r="J3" s="2"/>
      <c r="K3" s="1"/>
    </row>
    <row r="4" spans="1:11" ht="24.75" customHeight="1" x14ac:dyDescent="0.25">
      <c r="A4" s="164"/>
      <c r="B4" s="164"/>
      <c r="C4" s="166"/>
      <c r="D4" s="14" t="s">
        <v>3</v>
      </c>
      <c r="E4" s="14" t="s">
        <v>4</v>
      </c>
      <c r="F4" s="14" t="s">
        <v>5</v>
      </c>
      <c r="G4" s="166"/>
      <c r="H4" s="3"/>
      <c r="I4" s="3"/>
      <c r="J4" s="2"/>
      <c r="K4" s="1"/>
    </row>
    <row r="5" spans="1:11" x14ac:dyDescent="0.25">
      <c r="A5" s="15"/>
      <c r="B5" s="16"/>
      <c r="C5" s="16"/>
      <c r="D5" s="16"/>
      <c r="E5" s="16"/>
      <c r="F5" s="17" t="s">
        <v>8</v>
      </c>
      <c r="G5" s="16"/>
      <c r="H5" s="3"/>
      <c r="I5" s="3"/>
      <c r="J5" s="2"/>
      <c r="K5" s="1"/>
    </row>
    <row r="6" spans="1:11" x14ac:dyDescent="0.25">
      <c r="A6" s="121" t="s">
        <v>49</v>
      </c>
      <c r="B6" s="133" t="s">
        <v>36</v>
      </c>
      <c r="C6" s="121">
        <v>180</v>
      </c>
      <c r="D6" s="138">
        <f>C6*3.5/100</f>
        <v>6.3</v>
      </c>
      <c r="E6" s="121">
        <f>C6*4.6/100</f>
        <v>8.2799999999999994</v>
      </c>
      <c r="F6" s="138">
        <f>C6*16.7/100</f>
        <v>30.06</v>
      </c>
      <c r="G6" s="121">
        <v>202.92</v>
      </c>
      <c r="H6" s="3"/>
      <c r="I6" s="3"/>
      <c r="J6" s="2"/>
      <c r="K6" s="1"/>
    </row>
    <row r="7" spans="1:11" x14ac:dyDescent="0.25">
      <c r="A7" s="42" t="s">
        <v>68</v>
      </c>
      <c r="B7" s="123" t="s">
        <v>13</v>
      </c>
      <c r="C7" s="68">
        <v>40</v>
      </c>
      <c r="D7" s="125">
        <f>C7*6.6/100</f>
        <v>2.64</v>
      </c>
      <c r="E7" s="125">
        <f>C7*1.1/100</f>
        <v>0.44</v>
      </c>
      <c r="F7" s="125">
        <f>C7*43.9/100</f>
        <v>17.559999999999999</v>
      </c>
      <c r="G7" s="125">
        <f t="shared" ref="G7" si="0">F7*4+E7*9+D7*4</f>
        <v>84.759999999999991</v>
      </c>
      <c r="H7" s="3"/>
      <c r="I7" s="3"/>
      <c r="J7" s="2"/>
      <c r="K7" s="1"/>
    </row>
    <row r="8" spans="1:11" ht="15.75" x14ac:dyDescent="0.25">
      <c r="A8" s="94" t="s">
        <v>35</v>
      </c>
      <c r="B8" s="97" t="s">
        <v>24</v>
      </c>
      <c r="C8" s="94">
        <v>200</v>
      </c>
      <c r="D8" s="95">
        <f>0.2/200*C8</f>
        <v>0.2</v>
      </c>
      <c r="E8" s="96">
        <f>0/200*C8</f>
        <v>0</v>
      </c>
      <c r="F8" s="95">
        <f>14/200*C8</f>
        <v>14.000000000000002</v>
      </c>
      <c r="G8" s="95">
        <f>F8*4+E8*9+D8*4</f>
        <v>56.800000000000004</v>
      </c>
      <c r="H8" s="3"/>
      <c r="I8" s="3"/>
      <c r="J8" s="8"/>
      <c r="K8" s="8"/>
    </row>
    <row r="9" spans="1:11" ht="15.75" x14ac:dyDescent="0.25">
      <c r="A9" s="172" t="s">
        <v>18</v>
      </c>
      <c r="B9" s="173"/>
      <c r="C9" s="21">
        <f>SUM(C6:C8)</f>
        <v>420</v>
      </c>
      <c r="D9" s="22">
        <f>SUM(D6:D8)</f>
        <v>9.1399999999999988</v>
      </c>
      <c r="E9" s="21">
        <f>SUM(E6:E8)</f>
        <v>8.7199999999999989</v>
      </c>
      <c r="F9" s="22">
        <f>SUM(F6:F8)</f>
        <v>61.62</v>
      </c>
      <c r="G9" s="21">
        <f>SUM(G6:G8)</f>
        <v>344.47999999999996</v>
      </c>
      <c r="H9" s="3"/>
      <c r="I9" s="3"/>
      <c r="J9" s="8"/>
      <c r="K9" s="8"/>
    </row>
    <row r="10" spans="1:11" x14ac:dyDescent="0.25">
      <c r="A10" s="172" t="s">
        <v>9</v>
      </c>
      <c r="B10" s="174"/>
      <c r="C10" s="174"/>
      <c r="D10" s="174"/>
      <c r="E10" s="174"/>
      <c r="F10" s="174"/>
      <c r="G10" s="174"/>
      <c r="H10" s="3"/>
      <c r="I10" s="3"/>
      <c r="J10" s="2"/>
      <c r="K10" s="1"/>
    </row>
    <row r="11" spans="1:11" x14ac:dyDescent="0.25">
      <c r="A11" s="115" t="s">
        <v>10</v>
      </c>
      <c r="B11" s="113" t="s">
        <v>77</v>
      </c>
      <c r="C11" s="115">
        <v>250</v>
      </c>
      <c r="D11" s="114">
        <f>6.52/250*C11</f>
        <v>6.52</v>
      </c>
      <c r="E11" s="114">
        <f>10.4/250*C11</f>
        <v>10.4</v>
      </c>
      <c r="F11" s="114">
        <f>13.9/250*C11</f>
        <v>13.9</v>
      </c>
      <c r="G11" s="114">
        <f>218.88/250*C11</f>
        <v>218.88</v>
      </c>
      <c r="H11" s="3"/>
      <c r="I11" s="3"/>
      <c r="J11" s="2"/>
      <c r="K11" s="1"/>
    </row>
    <row r="12" spans="1:11" x14ac:dyDescent="0.25">
      <c r="A12" s="139" t="s">
        <v>78</v>
      </c>
      <c r="B12" s="140" t="s">
        <v>79</v>
      </c>
      <c r="C12" s="139">
        <v>150</v>
      </c>
      <c r="D12" s="141">
        <f>3.67/150*C12</f>
        <v>3.6700000000000004</v>
      </c>
      <c r="E12" s="141">
        <f>5.42/150*C12</f>
        <v>5.419999999999999</v>
      </c>
      <c r="F12" s="141">
        <f>36.67/150*C12</f>
        <v>36.67</v>
      </c>
      <c r="G12" s="141">
        <f>210.11/150*C12</f>
        <v>210.11</v>
      </c>
    </row>
    <row r="13" spans="1:11" ht="27" customHeight="1" x14ac:dyDescent="0.25">
      <c r="A13" s="61" t="s">
        <v>75</v>
      </c>
      <c r="B13" s="135" t="s">
        <v>74</v>
      </c>
      <c r="C13" s="136">
        <v>100</v>
      </c>
      <c r="D13" s="137">
        <f>13.7/75*C13</f>
        <v>18.266666666666666</v>
      </c>
      <c r="E13" s="137">
        <f>13.6/75*C13</f>
        <v>18.133333333333333</v>
      </c>
      <c r="F13" s="137">
        <f>12.2/75*C13</f>
        <v>16.266666666666666</v>
      </c>
      <c r="G13" s="137">
        <f>226.3/75*C13</f>
        <v>301.73333333333335</v>
      </c>
      <c r="H13" s="3"/>
      <c r="I13" s="3"/>
      <c r="J13" s="2"/>
      <c r="K13" s="1"/>
    </row>
    <row r="14" spans="1:11" x14ac:dyDescent="0.25">
      <c r="A14" s="25" t="s">
        <v>34</v>
      </c>
      <c r="B14" s="19" t="s">
        <v>20</v>
      </c>
      <c r="C14" s="18">
        <v>30</v>
      </c>
      <c r="D14" s="41">
        <f>C14*1.3/50</f>
        <v>0.78</v>
      </c>
      <c r="E14" s="41">
        <f>C14*4.8/50</f>
        <v>2.88</v>
      </c>
      <c r="F14" s="41">
        <f>C14*4.7/50</f>
        <v>2.82</v>
      </c>
      <c r="G14" s="41">
        <f>16.88/50*C14</f>
        <v>10.127999999999998</v>
      </c>
      <c r="H14" s="3"/>
      <c r="I14" s="3"/>
      <c r="J14" s="2"/>
      <c r="K14" s="1"/>
    </row>
    <row r="15" spans="1:11" ht="15.75" x14ac:dyDescent="0.25">
      <c r="A15" s="18"/>
      <c r="B15" s="19" t="s">
        <v>13</v>
      </c>
      <c r="C15" s="18">
        <v>50</v>
      </c>
      <c r="D15" s="18">
        <f>C15*6.6/100</f>
        <v>3.3</v>
      </c>
      <c r="E15" s="18">
        <f>C15*1.1/100</f>
        <v>0.55000000000000004</v>
      </c>
      <c r="F15" s="18">
        <f>C15*43.9/100</f>
        <v>21.95</v>
      </c>
      <c r="G15" s="18">
        <f>F15*4+E15*9+D15*4</f>
        <v>105.95</v>
      </c>
      <c r="H15" s="3"/>
      <c r="I15" s="3"/>
      <c r="J15" s="159"/>
      <c r="K15" s="159"/>
    </row>
    <row r="16" spans="1:11" ht="15.75" x14ac:dyDescent="0.25">
      <c r="A16" s="18" t="s">
        <v>26</v>
      </c>
      <c r="B16" s="19" t="s">
        <v>14</v>
      </c>
      <c r="C16" s="18">
        <v>200</v>
      </c>
      <c r="D16" s="55">
        <f>0.6/200*C16</f>
        <v>0.6</v>
      </c>
      <c r="E16" s="56">
        <f>0/200*C16</f>
        <v>0</v>
      </c>
      <c r="F16" s="55">
        <f>31.4/200*C16</f>
        <v>31.4</v>
      </c>
      <c r="G16" s="56">
        <f>128/200*C16</f>
        <v>128</v>
      </c>
      <c r="H16" s="3"/>
      <c r="I16" s="3"/>
      <c r="J16" s="159"/>
      <c r="K16" s="159"/>
    </row>
    <row r="17" spans="1:11" x14ac:dyDescent="0.25">
      <c r="A17" s="172" t="s">
        <v>19</v>
      </c>
      <c r="B17" s="173"/>
      <c r="C17" s="77">
        <f>SUM(C11:C16)</f>
        <v>780</v>
      </c>
      <c r="D17" s="22">
        <f>SUM(D11:D16)</f>
        <v>33.136666666666663</v>
      </c>
      <c r="E17" s="22">
        <f>SUM(E11:E16)</f>
        <v>37.383333333333333</v>
      </c>
      <c r="F17" s="22">
        <f>SUM(F11:F16)</f>
        <v>123.00666666666666</v>
      </c>
      <c r="G17" s="22">
        <f>SUM(G11:G16)</f>
        <v>974.80133333333345</v>
      </c>
      <c r="H17" s="3"/>
      <c r="I17" s="3"/>
      <c r="J17" s="2"/>
      <c r="K17" s="1"/>
    </row>
    <row r="18" spans="1:11" x14ac:dyDescent="0.25">
      <c r="A18" s="170"/>
      <c r="B18" s="171"/>
      <c r="C18" s="171"/>
      <c r="D18" s="171"/>
      <c r="E18" s="171"/>
      <c r="F18" s="171"/>
      <c r="G18" s="171"/>
      <c r="H18" s="3"/>
      <c r="I18" s="3"/>
      <c r="J18" s="2"/>
      <c r="K18" s="1"/>
    </row>
    <row r="19" spans="1:11" x14ac:dyDescent="0.25">
      <c r="A19" s="172" t="s">
        <v>17</v>
      </c>
      <c r="B19" s="173"/>
      <c r="C19" s="18"/>
      <c r="D19" s="22">
        <f>D9+D17</f>
        <v>42.276666666666664</v>
      </c>
      <c r="E19" s="22">
        <f>E9+E17</f>
        <v>46.103333333333332</v>
      </c>
      <c r="F19" s="22">
        <f>F9+F17</f>
        <v>184.62666666666667</v>
      </c>
      <c r="G19" s="22">
        <f>G9+G17</f>
        <v>1319.2813333333334</v>
      </c>
      <c r="H19" s="3"/>
      <c r="I19" s="3"/>
      <c r="J19" s="2"/>
      <c r="K19" s="1"/>
    </row>
  </sheetData>
  <mergeCells count="15">
    <mergeCell ref="A18:G18"/>
    <mergeCell ref="A9:B9"/>
    <mergeCell ref="A17:B17"/>
    <mergeCell ref="A19:B19"/>
    <mergeCell ref="A10:G10"/>
    <mergeCell ref="J16:K16"/>
    <mergeCell ref="A1:C1"/>
    <mergeCell ref="D1:G1"/>
    <mergeCell ref="D2:G2"/>
    <mergeCell ref="A3:A4"/>
    <mergeCell ref="B3:B4"/>
    <mergeCell ref="C3:C4"/>
    <mergeCell ref="D3:F3"/>
    <mergeCell ref="G3:G4"/>
    <mergeCell ref="J15:K15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Normal="110" zoomScaleSheetLayoutView="100" workbookViewId="0">
      <selection activeCell="D7" sqref="D7:G7"/>
    </sheetView>
  </sheetViews>
  <sheetFormatPr defaultRowHeight="15" x14ac:dyDescent="0.2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9.28515625" customWidth="1"/>
  </cols>
  <sheetData>
    <row r="1" spans="1:10" ht="15.75" x14ac:dyDescent="0.25">
      <c r="A1" s="160"/>
      <c r="B1" s="160"/>
      <c r="C1" s="160"/>
      <c r="D1" s="161"/>
      <c r="E1" s="161"/>
      <c r="F1" s="161"/>
      <c r="G1" s="161"/>
    </row>
    <row r="2" spans="1:10" ht="15.75" x14ac:dyDescent="0.25">
      <c r="A2" s="70" t="s">
        <v>55</v>
      </c>
      <c r="B2" s="70"/>
      <c r="C2" s="71"/>
      <c r="D2" s="162" t="s">
        <v>52</v>
      </c>
      <c r="E2" s="162"/>
      <c r="F2" s="162"/>
      <c r="G2" s="162"/>
    </row>
    <row r="3" spans="1:10" ht="18" customHeight="1" x14ac:dyDescent="0.25">
      <c r="A3" s="163" t="s">
        <v>0</v>
      </c>
      <c r="B3" s="163" t="s">
        <v>1</v>
      </c>
      <c r="C3" s="165" t="s">
        <v>2</v>
      </c>
      <c r="D3" s="167" t="s">
        <v>6</v>
      </c>
      <c r="E3" s="168"/>
      <c r="F3" s="169"/>
      <c r="G3" s="165" t="s">
        <v>61</v>
      </c>
      <c r="H3" s="2"/>
      <c r="I3" s="2"/>
      <c r="J3" s="1"/>
    </row>
    <row r="4" spans="1:10" x14ac:dyDescent="0.25">
      <c r="A4" s="164"/>
      <c r="B4" s="164"/>
      <c r="C4" s="166"/>
      <c r="D4" s="14" t="s">
        <v>3</v>
      </c>
      <c r="E4" s="14" t="s">
        <v>4</v>
      </c>
      <c r="F4" s="14" t="s">
        <v>5</v>
      </c>
      <c r="G4" s="166"/>
      <c r="H4" s="2"/>
      <c r="I4" s="2"/>
      <c r="J4" s="1"/>
    </row>
    <row r="5" spans="1:10" x14ac:dyDescent="0.25">
      <c r="A5" s="63"/>
      <c r="B5" s="64"/>
      <c r="C5" s="64"/>
      <c r="D5" s="64"/>
      <c r="E5" s="64"/>
      <c r="F5" s="65" t="s">
        <v>8</v>
      </c>
      <c r="G5" s="64"/>
      <c r="H5" s="2"/>
      <c r="I5" s="2"/>
      <c r="J5" s="1"/>
    </row>
    <row r="6" spans="1:10" x14ac:dyDescent="0.25">
      <c r="A6" s="124" t="s">
        <v>59</v>
      </c>
      <c r="B6" s="116" t="s">
        <v>60</v>
      </c>
      <c r="C6" s="124">
        <v>150</v>
      </c>
      <c r="D6" s="66">
        <f>4.8/200*C6</f>
        <v>3.6</v>
      </c>
      <c r="E6" s="66">
        <f>7/200*C6</f>
        <v>5.2500000000000009</v>
      </c>
      <c r="F6" s="67">
        <f>51.6/200*C6</f>
        <v>38.700000000000003</v>
      </c>
      <c r="G6" s="124">
        <f>288.6/200*C6</f>
        <v>216.45000000000002</v>
      </c>
      <c r="H6" s="3"/>
      <c r="I6" s="2"/>
      <c r="J6" s="1"/>
    </row>
    <row r="7" spans="1:10" s="30" customFormat="1" x14ac:dyDescent="0.25">
      <c r="A7" s="37"/>
      <c r="B7" s="123" t="s">
        <v>13</v>
      </c>
      <c r="C7" s="68">
        <v>30</v>
      </c>
      <c r="D7" s="125">
        <f>C7*6.6/100</f>
        <v>1.98</v>
      </c>
      <c r="E7" s="125">
        <f>C7*1.1/100</f>
        <v>0.33</v>
      </c>
      <c r="F7" s="125">
        <f>C7*43.9/100</f>
        <v>13.17</v>
      </c>
      <c r="G7" s="125">
        <f t="shared" ref="G7" si="0">F7*4+E7*9+D7*4</f>
        <v>63.57</v>
      </c>
      <c r="H7" s="38"/>
      <c r="I7" s="39"/>
    </row>
    <row r="8" spans="1:10" x14ac:dyDescent="0.25">
      <c r="A8" s="33" t="s">
        <v>22</v>
      </c>
      <c r="B8" s="40" t="s">
        <v>21</v>
      </c>
      <c r="C8" s="124">
        <v>200</v>
      </c>
      <c r="D8" s="125">
        <f>0.3/200*C8</f>
        <v>0.3</v>
      </c>
      <c r="E8" s="126">
        <f>0/200*C8</f>
        <v>0</v>
      </c>
      <c r="F8" s="125">
        <f>15.2/200*C8</f>
        <v>15.2</v>
      </c>
      <c r="G8" s="125">
        <f t="shared" ref="G8" si="1">F8*4+E8*9+D8*4</f>
        <v>62</v>
      </c>
      <c r="H8" s="3"/>
      <c r="I8" s="2"/>
      <c r="J8" s="1"/>
    </row>
    <row r="9" spans="1:10" x14ac:dyDescent="0.25">
      <c r="A9" s="172" t="s">
        <v>18</v>
      </c>
      <c r="B9" s="173"/>
      <c r="C9" s="21">
        <f>SUM(C6:C8)</f>
        <v>380</v>
      </c>
      <c r="D9" s="21">
        <f>SUM(D6:D8)</f>
        <v>5.88</v>
      </c>
      <c r="E9" s="21">
        <f>SUM(E6:E8)</f>
        <v>5.580000000000001</v>
      </c>
      <c r="F9" s="22">
        <f>SUM(F6:F8)</f>
        <v>67.070000000000007</v>
      </c>
      <c r="G9" s="21">
        <f>SUM(G6:G8)</f>
        <v>342.02000000000004</v>
      </c>
      <c r="H9" s="3"/>
      <c r="I9" s="2" t="s">
        <v>7</v>
      </c>
      <c r="J9" s="1"/>
    </row>
    <row r="10" spans="1:10" x14ac:dyDescent="0.25">
      <c r="A10" s="172" t="s">
        <v>9</v>
      </c>
      <c r="B10" s="174"/>
      <c r="C10" s="174"/>
      <c r="D10" s="174"/>
      <c r="E10" s="174"/>
      <c r="F10" s="174"/>
      <c r="G10" s="174"/>
      <c r="H10" s="3"/>
      <c r="I10" s="2"/>
      <c r="J10" s="1"/>
    </row>
    <row r="11" spans="1:10" x14ac:dyDescent="0.25">
      <c r="A11" s="110" t="s">
        <v>56</v>
      </c>
      <c r="B11" s="111" t="s">
        <v>57</v>
      </c>
      <c r="C11" s="110">
        <v>280</v>
      </c>
      <c r="D11" s="110">
        <f>2.2/250*C11</f>
        <v>2.464</v>
      </c>
      <c r="E11" s="110">
        <f>2.78/250*C11</f>
        <v>3.1135999999999999</v>
      </c>
      <c r="F11" s="110">
        <f>15.38/250*C11</f>
        <v>17.2256</v>
      </c>
      <c r="G11" s="110">
        <f>106/250*C11</f>
        <v>118.72</v>
      </c>
      <c r="H11" s="3"/>
      <c r="I11" s="2"/>
      <c r="J11" s="1"/>
    </row>
    <row r="12" spans="1:10" x14ac:dyDescent="0.25">
      <c r="A12" s="121" t="s">
        <v>66</v>
      </c>
      <c r="B12" s="133" t="s">
        <v>72</v>
      </c>
      <c r="C12" s="121">
        <v>150</v>
      </c>
      <c r="D12" s="138">
        <f>2.7/200*C12</f>
        <v>2.0250000000000004</v>
      </c>
      <c r="E12" s="138">
        <f>4.48/200*C12</f>
        <v>3.3600000000000003</v>
      </c>
      <c r="F12" s="138">
        <f>72.6/200*C12</f>
        <v>54.449999999999996</v>
      </c>
      <c r="G12" s="138">
        <f>281.2/200*C12</f>
        <v>210.89999999999998</v>
      </c>
      <c r="H12" s="3"/>
      <c r="I12" s="2"/>
      <c r="J12" s="6"/>
    </row>
    <row r="13" spans="1:10" x14ac:dyDescent="0.25">
      <c r="A13" s="121" t="s">
        <v>66</v>
      </c>
      <c r="B13" s="133" t="s">
        <v>73</v>
      </c>
      <c r="C13" s="121">
        <v>100</v>
      </c>
      <c r="D13" s="138">
        <f>12.8/100*C13</f>
        <v>12.8</v>
      </c>
      <c r="E13" s="138">
        <f>8.65/100*C13</f>
        <v>8.65</v>
      </c>
      <c r="F13" s="138">
        <f>22.82/100*C13</f>
        <v>22.82</v>
      </c>
      <c r="G13" s="138">
        <f>190.3/100*C13</f>
        <v>190.3</v>
      </c>
      <c r="H13" s="3"/>
      <c r="I13" s="2"/>
      <c r="J13" s="1"/>
    </row>
    <row r="14" spans="1:10" x14ac:dyDescent="0.25">
      <c r="A14" s="18" t="s">
        <v>34</v>
      </c>
      <c r="B14" s="19" t="s">
        <v>20</v>
      </c>
      <c r="C14" s="18">
        <v>40</v>
      </c>
      <c r="D14" s="18">
        <f>C14*1.3/50</f>
        <v>1.04</v>
      </c>
      <c r="E14" s="18">
        <f>C14*4.8/50</f>
        <v>3.84</v>
      </c>
      <c r="F14" s="18">
        <f>C14*4.7/50</f>
        <v>3.76</v>
      </c>
      <c r="G14" s="18">
        <v>33.76</v>
      </c>
      <c r="H14" s="3"/>
      <c r="I14" s="2"/>
      <c r="J14" s="6"/>
    </row>
    <row r="15" spans="1:10" x14ac:dyDescent="0.25">
      <c r="A15" s="18"/>
      <c r="B15" s="19" t="s">
        <v>13</v>
      </c>
      <c r="C15" s="18">
        <v>50</v>
      </c>
      <c r="D15" s="18">
        <f>C15*6.6/100</f>
        <v>3.3</v>
      </c>
      <c r="E15" s="18">
        <f>C15*1.1/100</f>
        <v>0.55000000000000004</v>
      </c>
      <c r="F15" s="18">
        <f>C15*43.9/100</f>
        <v>21.95</v>
      </c>
      <c r="G15" s="18">
        <f>F15*4+E15*9+D15*4</f>
        <v>105.95</v>
      </c>
      <c r="H15" s="3"/>
      <c r="I15" s="2"/>
      <c r="J15" s="1"/>
    </row>
    <row r="16" spans="1:10" x14ac:dyDescent="0.25">
      <c r="A16" s="124" t="s">
        <v>25</v>
      </c>
      <c r="B16" s="123" t="s">
        <v>23</v>
      </c>
      <c r="C16" s="124">
        <v>200</v>
      </c>
      <c r="D16" s="125">
        <f>2.9*C16/100</f>
        <v>5.8</v>
      </c>
      <c r="E16" s="125">
        <f>2*C16/100</f>
        <v>4</v>
      </c>
      <c r="F16" s="125">
        <f>32.5*C16/100</f>
        <v>65</v>
      </c>
      <c r="G16" s="125">
        <f>194.6*C16/100</f>
        <v>389.2</v>
      </c>
      <c r="H16" s="3"/>
      <c r="I16" s="2"/>
      <c r="J16" s="1"/>
    </row>
    <row r="17" spans="1:10" x14ac:dyDescent="0.25">
      <c r="A17" s="172" t="s">
        <v>19</v>
      </c>
      <c r="B17" s="173"/>
      <c r="C17" s="76">
        <f>SUM(C11:C16)</f>
        <v>820</v>
      </c>
      <c r="D17" s="22">
        <f>SUM(D11:D16)</f>
        <v>27.429000000000002</v>
      </c>
      <c r="E17" s="22">
        <f>SUM(E11:E16)</f>
        <v>23.5136</v>
      </c>
      <c r="F17" s="21">
        <f>SUM(F11:F16)</f>
        <v>185.2056</v>
      </c>
      <c r="G17" s="22">
        <f>SUM(G11:G16)</f>
        <v>1048.8300000000002</v>
      </c>
      <c r="H17" s="3"/>
      <c r="I17" s="2"/>
      <c r="J17" s="1"/>
    </row>
    <row r="18" spans="1:10" x14ac:dyDescent="0.25">
      <c r="A18" s="170"/>
      <c r="B18" s="171"/>
      <c r="C18" s="171"/>
      <c r="D18" s="171"/>
      <c r="E18" s="171"/>
      <c r="F18" s="171"/>
      <c r="G18" s="171"/>
      <c r="H18" s="3"/>
      <c r="I18" s="2"/>
      <c r="J18" s="1"/>
    </row>
    <row r="19" spans="1:10" x14ac:dyDescent="0.25">
      <c r="A19" s="172" t="s">
        <v>17</v>
      </c>
      <c r="B19" s="173"/>
      <c r="C19" s="18"/>
      <c r="D19" s="22">
        <f>D9+D17</f>
        <v>33.309000000000005</v>
      </c>
      <c r="E19" s="22">
        <f>E9+E17</f>
        <v>29.093600000000002</v>
      </c>
      <c r="F19" s="22">
        <f>F9+F17</f>
        <v>252.2756</v>
      </c>
      <c r="G19" s="22">
        <f>G9+G17</f>
        <v>1390.8500000000001</v>
      </c>
      <c r="H19" s="3"/>
      <c r="I19" s="2"/>
      <c r="J19" s="1"/>
    </row>
    <row r="29" spans="1:10" x14ac:dyDescent="0.25">
      <c r="B29" s="3"/>
      <c r="C29" s="4"/>
      <c r="D29" s="3"/>
      <c r="E29" s="5"/>
      <c r="F29" s="5"/>
      <c r="G29" s="3"/>
    </row>
  </sheetData>
  <mergeCells count="13">
    <mergeCell ref="A1:C1"/>
    <mergeCell ref="D1:G1"/>
    <mergeCell ref="D2:G2"/>
    <mergeCell ref="A19:B19"/>
    <mergeCell ref="A3:A4"/>
    <mergeCell ref="B3:B4"/>
    <mergeCell ref="C3:C4"/>
    <mergeCell ref="D3:F3"/>
    <mergeCell ref="A9:B9"/>
    <mergeCell ref="A10:G10"/>
    <mergeCell ref="A17:B17"/>
    <mergeCell ref="A18:G18"/>
    <mergeCell ref="G3:G4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  <colBreaks count="1" manualBreakCount="1">
    <brk id="7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10" zoomScaleSheetLayoutView="100" workbookViewId="0">
      <selection activeCell="C13" sqref="C13"/>
    </sheetView>
  </sheetViews>
  <sheetFormatPr defaultRowHeight="15" x14ac:dyDescent="0.25"/>
  <cols>
    <col min="1" max="1" width="9.85546875" customWidth="1"/>
    <col min="2" max="2" width="29" customWidth="1"/>
    <col min="3" max="3" width="6.7109375" customWidth="1"/>
    <col min="4" max="4" width="7.7109375" customWidth="1"/>
    <col min="5" max="5" width="7" customWidth="1"/>
    <col min="6" max="6" width="8.5703125" customWidth="1"/>
    <col min="7" max="7" width="8.85546875" customWidth="1"/>
  </cols>
  <sheetData>
    <row r="1" spans="1:10" ht="15.75" x14ac:dyDescent="0.25">
      <c r="A1" s="160"/>
      <c r="B1" s="160"/>
      <c r="C1" s="160"/>
      <c r="D1" s="161"/>
      <c r="E1" s="161"/>
      <c r="F1" s="161"/>
      <c r="G1" s="161"/>
    </row>
    <row r="2" spans="1:10" ht="15.75" x14ac:dyDescent="0.25">
      <c r="A2" s="70" t="s">
        <v>55</v>
      </c>
      <c r="B2" s="70"/>
      <c r="C2" s="71"/>
      <c r="D2" s="162" t="s">
        <v>53</v>
      </c>
      <c r="E2" s="162"/>
      <c r="F2" s="162"/>
      <c r="G2" s="162"/>
    </row>
    <row r="3" spans="1:10" ht="18" customHeight="1" x14ac:dyDescent="0.25">
      <c r="A3" s="163" t="s">
        <v>0</v>
      </c>
      <c r="B3" s="163" t="s">
        <v>1</v>
      </c>
      <c r="C3" s="165" t="s">
        <v>2</v>
      </c>
      <c r="D3" s="167" t="s">
        <v>6</v>
      </c>
      <c r="E3" s="168"/>
      <c r="F3" s="169"/>
      <c r="G3" s="165" t="s">
        <v>62</v>
      </c>
      <c r="H3" s="2"/>
      <c r="I3" s="2"/>
      <c r="J3" s="1"/>
    </row>
    <row r="4" spans="1:10" x14ac:dyDescent="0.25">
      <c r="A4" s="164"/>
      <c r="B4" s="164"/>
      <c r="C4" s="166"/>
      <c r="D4" s="14" t="s">
        <v>3</v>
      </c>
      <c r="E4" s="14" t="s">
        <v>4</v>
      </c>
      <c r="F4" s="14" t="s">
        <v>5</v>
      </c>
      <c r="G4" s="166"/>
      <c r="H4" s="2"/>
      <c r="I4" s="2"/>
      <c r="J4" s="1"/>
    </row>
    <row r="5" spans="1:10" x14ac:dyDescent="0.25">
      <c r="A5" s="63"/>
      <c r="B5" s="64"/>
      <c r="C5" s="64"/>
      <c r="D5" s="64"/>
      <c r="E5" s="64"/>
      <c r="F5" s="65" t="s">
        <v>8</v>
      </c>
      <c r="G5" s="64"/>
      <c r="H5" s="2"/>
      <c r="I5" s="2"/>
      <c r="J5" s="1"/>
    </row>
    <row r="6" spans="1:10" ht="25.5" x14ac:dyDescent="0.25">
      <c r="A6" s="121" t="s">
        <v>40</v>
      </c>
      <c r="B6" s="133" t="s">
        <v>39</v>
      </c>
      <c r="C6" s="121">
        <v>150</v>
      </c>
      <c r="D6" s="121">
        <f>8.65/150*C6</f>
        <v>8.65</v>
      </c>
      <c r="E6" s="121">
        <f>18.1/150*C6</f>
        <v>18.100000000000001</v>
      </c>
      <c r="F6" s="138">
        <f>29.95/150*C6</f>
        <v>29.95</v>
      </c>
      <c r="G6" s="121">
        <f>282.2/150*C6</f>
        <v>282.2</v>
      </c>
      <c r="H6" s="3"/>
      <c r="I6" s="2"/>
      <c r="J6" s="1"/>
    </row>
    <row r="7" spans="1:10" x14ac:dyDescent="0.25">
      <c r="A7" s="42"/>
      <c r="B7" s="123" t="s">
        <v>13</v>
      </c>
      <c r="C7" s="68">
        <v>50</v>
      </c>
      <c r="D7" s="125">
        <f>C7*6.6/100</f>
        <v>3.3</v>
      </c>
      <c r="E7" s="125">
        <f>C7*1.1/100</f>
        <v>0.55000000000000004</v>
      </c>
      <c r="F7" s="125">
        <f>C7*43.9/100</f>
        <v>21.95</v>
      </c>
      <c r="G7" s="125">
        <f t="shared" ref="G7" si="0">F7*4+E7*9+D7*4</f>
        <v>105.95</v>
      </c>
      <c r="H7" s="3"/>
      <c r="I7" s="2"/>
      <c r="J7" s="1"/>
    </row>
    <row r="8" spans="1:10" x14ac:dyDescent="0.25">
      <c r="A8" s="124" t="s">
        <v>25</v>
      </c>
      <c r="B8" s="123" t="s">
        <v>23</v>
      </c>
      <c r="C8" s="124">
        <v>200</v>
      </c>
      <c r="D8" s="125">
        <f>2.9*C8/100</f>
        <v>5.8</v>
      </c>
      <c r="E8" s="125">
        <f>2*C8/100</f>
        <v>4</v>
      </c>
      <c r="F8" s="125">
        <f>32.5*C8/100</f>
        <v>65</v>
      </c>
      <c r="G8" s="125">
        <f>194.6*C8/100</f>
        <v>389.2</v>
      </c>
      <c r="H8" s="3"/>
      <c r="I8" s="2"/>
      <c r="J8" s="1"/>
    </row>
    <row r="9" spans="1:10" x14ac:dyDescent="0.25">
      <c r="A9" s="172" t="s">
        <v>18</v>
      </c>
      <c r="B9" s="173"/>
      <c r="C9" s="21">
        <f>SUM(C6:C8)</f>
        <v>400</v>
      </c>
      <c r="D9" s="21">
        <f>SUM(D6:D8)</f>
        <v>17.75</v>
      </c>
      <c r="E9" s="81">
        <f>SUM(E6:E8)</f>
        <v>22.650000000000002</v>
      </c>
      <c r="F9" s="81">
        <f>SUM(F6:F8)</f>
        <v>116.9</v>
      </c>
      <c r="G9" s="81">
        <f>SUM(G6:G8)</f>
        <v>777.34999999999991</v>
      </c>
      <c r="H9" s="3"/>
      <c r="I9" s="2" t="s">
        <v>7</v>
      </c>
      <c r="J9" s="1"/>
    </row>
    <row r="10" spans="1:10" x14ac:dyDescent="0.25">
      <c r="A10" s="172" t="s">
        <v>9</v>
      </c>
      <c r="B10" s="174"/>
      <c r="C10" s="174"/>
      <c r="D10" s="174"/>
      <c r="E10" s="174"/>
      <c r="F10" s="174"/>
      <c r="G10" s="174"/>
      <c r="H10" s="3"/>
      <c r="I10" s="2"/>
      <c r="J10" s="1"/>
    </row>
    <row r="11" spans="1:10" x14ac:dyDescent="0.25">
      <c r="A11" s="122" t="s">
        <v>29</v>
      </c>
      <c r="B11" s="116" t="s">
        <v>76</v>
      </c>
      <c r="C11" s="122">
        <v>250</v>
      </c>
      <c r="D11" s="58">
        <f>C11*1.17/100</f>
        <v>2.9249999999999998</v>
      </c>
      <c r="E11" s="58">
        <f>C11*4.05/100</f>
        <v>10.125</v>
      </c>
      <c r="F11" s="58">
        <f>C11*6.94/100</f>
        <v>17.350000000000001</v>
      </c>
      <c r="G11" s="58">
        <f t="shared" ref="G11:G14" si="1">F11*4+E11*9+D11*4</f>
        <v>172.22499999999999</v>
      </c>
      <c r="H11" s="3"/>
      <c r="I11" s="2"/>
      <c r="J11" s="1"/>
    </row>
    <row r="12" spans="1:10" x14ac:dyDescent="0.25">
      <c r="A12" s="18" t="s">
        <v>33</v>
      </c>
      <c r="B12" s="23" t="s">
        <v>32</v>
      </c>
      <c r="C12" s="18">
        <v>150</v>
      </c>
      <c r="D12" s="20">
        <f>C12*3.5/100</f>
        <v>5.25</v>
      </c>
      <c r="E12" s="20">
        <f>C12*4.1/100</f>
        <v>6.15</v>
      </c>
      <c r="F12" s="20">
        <f>C12*23.5/100</f>
        <v>35.25</v>
      </c>
      <c r="G12" s="20">
        <f t="shared" si="1"/>
        <v>217.35</v>
      </c>
      <c r="H12" s="3"/>
      <c r="I12" s="2"/>
      <c r="J12" s="1"/>
    </row>
    <row r="13" spans="1:10" x14ac:dyDescent="0.25">
      <c r="A13" s="124" t="s">
        <v>44</v>
      </c>
      <c r="B13" s="123" t="s">
        <v>43</v>
      </c>
      <c r="C13" s="124">
        <v>100</v>
      </c>
      <c r="D13" s="125">
        <f>C13*17.5/100</f>
        <v>17.5</v>
      </c>
      <c r="E13" s="125">
        <f>C13*14.9/100</f>
        <v>14.9</v>
      </c>
      <c r="F13" s="125">
        <f>C13*9/100</f>
        <v>9</v>
      </c>
      <c r="G13" s="125">
        <f t="shared" si="1"/>
        <v>240.1</v>
      </c>
      <c r="H13" s="3"/>
      <c r="I13" s="2"/>
      <c r="J13" s="1"/>
    </row>
    <row r="14" spans="1:10" x14ac:dyDescent="0.25">
      <c r="A14" s="18"/>
      <c r="B14" s="123" t="s">
        <v>13</v>
      </c>
      <c r="C14" s="18">
        <v>50</v>
      </c>
      <c r="D14" s="18">
        <f>C14*7.7/100</f>
        <v>3.85</v>
      </c>
      <c r="E14" s="20">
        <f>C14*0.8/100</f>
        <v>0.4</v>
      </c>
      <c r="F14" s="18">
        <f>C14*49.5/100</f>
        <v>24.75</v>
      </c>
      <c r="G14" s="20">
        <f t="shared" si="1"/>
        <v>118</v>
      </c>
      <c r="H14" s="3"/>
      <c r="I14" s="2"/>
      <c r="J14" s="1"/>
    </row>
    <row r="15" spans="1:10" x14ac:dyDescent="0.25">
      <c r="A15" s="18" t="s">
        <v>48</v>
      </c>
      <c r="B15" s="19" t="s">
        <v>83</v>
      </c>
      <c r="C15" s="48">
        <v>200</v>
      </c>
      <c r="D15" s="49">
        <f>0.4/200*C15</f>
        <v>0.4</v>
      </c>
      <c r="E15" s="49">
        <f>0.27/200*C15</f>
        <v>0.27</v>
      </c>
      <c r="F15" s="49">
        <f>17.2/200*C15</f>
        <v>17.2</v>
      </c>
      <c r="G15" s="49">
        <f>72.83/200*C15</f>
        <v>72.83</v>
      </c>
      <c r="H15" s="3"/>
      <c r="I15" s="2"/>
      <c r="J15" s="1"/>
    </row>
    <row r="16" spans="1:10" x14ac:dyDescent="0.25">
      <c r="A16" s="172" t="s">
        <v>19</v>
      </c>
      <c r="B16" s="173"/>
      <c r="C16" s="76">
        <f>SUM(C11:C15)</f>
        <v>750</v>
      </c>
      <c r="D16" s="22">
        <f>SUM(D11:D15)</f>
        <v>29.925000000000001</v>
      </c>
      <c r="E16" s="22">
        <f>SUM(E11:E15)</f>
        <v>31.844999999999995</v>
      </c>
      <c r="F16" s="22">
        <f>SUM(F11:F15)</f>
        <v>103.55</v>
      </c>
      <c r="G16" s="22">
        <f>SUM(G11:G15)</f>
        <v>820.505</v>
      </c>
      <c r="H16" s="3"/>
      <c r="I16" s="2"/>
      <c r="J16" s="1"/>
    </row>
    <row r="17" spans="1:10" x14ac:dyDescent="0.25">
      <c r="A17" s="170"/>
      <c r="B17" s="171"/>
      <c r="C17" s="171"/>
      <c r="D17" s="171"/>
      <c r="E17" s="171"/>
      <c r="F17" s="171"/>
      <c r="G17" s="171"/>
      <c r="H17" s="3"/>
      <c r="I17" s="2"/>
      <c r="J17" s="1"/>
    </row>
    <row r="18" spans="1:10" x14ac:dyDescent="0.25">
      <c r="A18" s="172" t="s">
        <v>17</v>
      </c>
      <c r="B18" s="173"/>
      <c r="C18" s="18"/>
      <c r="D18" s="22">
        <f>D9+D16</f>
        <v>47.674999999999997</v>
      </c>
      <c r="E18" s="22">
        <f>E9+E16</f>
        <v>54.494999999999997</v>
      </c>
      <c r="F18" s="22">
        <f>F9+F16</f>
        <v>220.45</v>
      </c>
      <c r="G18" s="22">
        <f>G9+G16</f>
        <v>1597.855</v>
      </c>
      <c r="H18" s="3"/>
      <c r="I18" s="2"/>
      <c r="J18" s="1"/>
    </row>
  </sheetData>
  <mergeCells count="13">
    <mergeCell ref="A1:C1"/>
    <mergeCell ref="D1:G1"/>
    <mergeCell ref="D2:G2"/>
    <mergeCell ref="A18:B18"/>
    <mergeCell ref="A3:A4"/>
    <mergeCell ref="B3:B4"/>
    <mergeCell ref="C3:C4"/>
    <mergeCell ref="D3:F3"/>
    <mergeCell ref="A9:B9"/>
    <mergeCell ref="A10:G10"/>
    <mergeCell ref="A16:B16"/>
    <mergeCell ref="A17:G17"/>
    <mergeCell ref="G3:G4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Normal="110" zoomScaleSheetLayoutView="100" workbookViewId="0">
      <selection activeCell="C12" sqref="C12"/>
    </sheetView>
  </sheetViews>
  <sheetFormatPr defaultRowHeight="15" x14ac:dyDescent="0.25"/>
  <cols>
    <col min="1" max="1" width="9.85546875" customWidth="1"/>
    <col min="2" max="2" width="30.28515625" customWidth="1"/>
    <col min="3" max="3" width="8" customWidth="1"/>
    <col min="4" max="4" width="7.7109375" customWidth="1"/>
    <col min="5" max="5" width="7" customWidth="1"/>
    <col min="7" max="7" width="10.140625" customWidth="1"/>
  </cols>
  <sheetData>
    <row r="1" spans="1:11" ht="15.75" x14ac:dyDescent="0.25">
      <c r="A1" s="160"/>
      <c r="B1" s="160"/>
      <c r="C1" s="160"/>
      <c r="D1" s="161"/>
      <c r="E1" s="161"/>
      <c r="F1" s="161"/>
      <c r="G1" s="161"/>
    </row>
    <row r="2" spans="1:11" ht="15.75" x14ac:dyDescent="0.25">
      <c r="A2" s="70" t="s">
        <v>55</v>
      </c>
      <c r="B2" s="70"/>
      <c r="C2" s="71"/>
      <c r="D2" s="162" t="s">
        <v>54</v>
      </c>
      <c r="E2" s="162"/>
      <c r="F2" s="162"/>
      <c r="G2" s="162"/>
    </row>
    <row r="3" spans="1:11" ht="18" customHeight="1" x14ac:dyDescent="0.25">
      <c r="A3" s="163" t="s">
        <v>0</v>
      </c>
      <c r="B3" s="163" t="s">
        <v>1</v>
      </c>
      <c r="C3" s="165" t="s">
        <v>2</v>
      </c>
      <c r="D3" s="167" t="s">
        <v>6</v>
      </c>
      <c r="E3" s="168"/>
      <c r="F3" s="169"/>
      <c r="G3" s="165" t="s">
        <v>61</v>
      </c>
      <c r="H3" s="2"/>
      <c r="I3" s="2"/>
      <c r="J3" s="2"/>
      <c r="K3" s="1"/>
    </row>
    <row r="4" spans="1:11" ht="58.5" customHeight="1" x14ac:dyDescent="0.25">
      <c r="A4" s="164"/>
      <c r="B4" s="164"/>
      <c r="C4" s="166"/>
      <c r="D4" s="14" t="s">
        <v>3</v>
      </c>
      <c r="E4" s="14" t="s">
        <v>4</v>
      </c>
      <c r="F4" s="14" t="s">
        <v>5</v>
      </c>
      <c r="G4" s="166"/>
      <c r="H4" s="2"/>
      <c r="I4" s="2"/>
      <c r="J4" s="2"/>
      <c r="K4" s="1"/>
    </row>
    <row r="5" spans="1:11" x14ac:dyDescent="0.25">
      <c r="A5" s="15"/>
      <c r="B5" s="16"/>
      <c r="C5" s="16"/>
      <c r="D5" s="16"/>
      <c r="E5" s="16"/>
      <c r="F5" s="17" t="s">
        <v>8</v>
      </c>
      <c r="G5" s="16"/>
      <c r="H5" s="2"/>
      <c r="I5" s="2"/>
      <c r="J5" s="2"/>
      <c r="K5" s="1"/>
    </row>
    <row r="6" spans="1:11" ht="25.5" customHeight="1" x14ac:dyDescent="0.25">
      <c r="A6" s="156">
        <v>125</v>
      </c>
      <c r="B6" s="86" t="s">
        <v>80</v>
      </c>
      <c r="C6" s="85">
        <v>180</v>
      </c>
      <c r="D6" s="85">
        <f>4.4/150*C6</f>
        <v>5.28</v>
      </c>
      <c r="E6" s="85">
        <f>6.3/150*C6</f>
        <v>7.56</v>
      </c>
      <c r="F6" s="85">
        <f>21.8/150*C6</f>
        <v>26.16</v>
      </c>
      <c r="G6" s="85">
        <f>157.2/150*C6</f>
        <v>188.63999999999996</v>
      </c>
      <c r="H6" s="3"/>
      <c r="I6" s="3"/>
      <c r="J6" s="2"/>
      <c r="K6" s="1"/>
    </row>
    <row r="7" spans="1:11" s="106" customFormat="1" ht="21" customHeight="1" x14ac:dyDescent="0.25">
      <c r="A7" s="156"/>
      <c r="B7" s="123" t="s">
        <v>13</v>
      </c>
      <c r="C7" s="124">
        <v>50</v>
      </c>
      <c r="D7" s="125">
        <f>C7*6.6/100</f>
        <v>3.3</v>
      </c>
      <c r="E7" s="125">
        <f>C7*1.1/100</f>
        <v>0.55000000000000004</v>
      </c>
      <c r="F7" s="125">
        <f>C7*43.9/100</f>
        <v>21.95</v>
      </c>
      <c r="G7" s="125">
        <f t="shared" ref="G7" si="0">F7*4+E7*9+D7*4</f>
        <v>105.95</v>
      </c>
      <c r="H7" s="93"/>
      <c r="I7" s="93"/>
      <c r="J7" s="92"/>
      <c r="K7" s="91"/>
    </row>
    <row r="8" spans="1:11" x14ac:dyDescent="0.25">
      <c r="A8" s="119" t="s">
        <v>16</v>
      </c>
      <c r="B8" s="117" t="s">
        <v>15</v>
      </c>
      <c r="C8" s="119">
        <v>200</v>
      </c>
      <c r="D8" s="118">
        <v>3.456</v>
      </c>
      <c r="E8" s="118">
        <v>3.7760000000000002</v>
      </c>
      <c r="F8" s="118">
        <v>13.283999999999999</v>
      </c>
      <c r="G8" s="118">
        <v>100.24000000000001</v>
      </c>
      <c r="H8" s="3"/>
      <c r="I8" s="3"/>
      <c r="J8" s="2"/>
      <c r="K8" s="1"/>
    </row>
    <row r="9" spans="1:11" x14ac:dyDescent="0.25">
      <c r="A9" s="172" t="s">
        <v>18</v>
      </c>
      <c r="B9" s="173"/>
      <c r="C9" s="21">
        <f>SUM(C6:C8)</f>
        <v>430</v>
      </c>
      <c r="D9" s="21">
        <f>SUM(D6:D8)</f>
        <v>12.036</v>
      </c>
      <c r="E9" s="22">
        <f>SUM(E6:E8)</f>
        <v>11.885999999999999</v>
      </c>
      <c r="F9" s="22">
        <f>SUM(F6:F8)</f>
        <v>61.393999999999998</v>
      </c>
      <c r="G9" s="22">
        <f>SUM(G6:G8)</f>
        <v>394.83</v>
      </c>
      <c r="H9" s="3"/>
      <c r="I9" s="3"/>
      <c r="J9" s="2" t="s">
        <v>7</v>
      </c>
      <c r="K9" s="1"/>
    </row>
    <row r="10" spans="1:11" x14ac:dyDescent="0.25">
      <c r="A10" s="190" t="s">
        <v>9</v>
      </c>
      <c r="B10" s="191"/>
      <c r="C10" s="191"/>
      <c r="D10" s="191"/>
      <c r="E10" s="191"/>
      <c r="F10" s="191"/>
      <c r="G10" s="191"/>
      <c r="H10" s="3"/>
      <c r="I10" s="3"/>
      <c r="J10" s="2"/>
      <c r="K10" s="1"/>
    </row>
    <row r="11" spans="1:11" ht="25.5" x14ac:dyDescent="0.25">
      <c r="A11" s="146" t="s">
        <v>31</v>
      </c>
      <c r="B11" s="150" t="s">
        <v>30</v>
      </c>
      <c r="C11" s="151">
        <v>250</v>
      </c>
      <c r="D11" s="152">
        <f>2.4/250*C11</f>
        <v>2.4</v>
      </c>
      <c r="E11" s="152">
        <f>4.3/250*C11</f>
        <v>4.3</v>
      </c>
      <c r="F11" s="153">
        <f>10/250*C11</f>
        <v>10</v>
      </c>
      <c r="G11" s="152">
        <f>88/250*C11</f>
        <v>88</v>
      </c>
      <c r="H11" s="3"/>
      <c r="I11" s="3"/>
      <c r="J11" s="2"/>
      <c r="K11" s="1"/>
    </row>
    <row r="12" spans="1:11" ht="25.5" x14ac:dyDescent="0.25">
      <c r="A12" s="112" t="s">
        <v>66</v>
      </c>
      <c r="B12" s="28" t="s">
        <v>58</v>
      </c>
      <c r="C12" s="128">
        <v>200</v>
      </c>
      <c r="D12" s="157">
        <v>8.9</v>
      </c>
      <c r="E12" s="157">
        <v>4.9000000000000004</v>
      </c>
      <c r="F12" s="157">
        <v>10.8</v>
      </c>
      <c r="G12" s="157">
        <v>123</v>
      </c>
      <c r="H12" s="3"/>
      <c r="I12" s="3"/>
      <c r="J12" s="2"/>
      <c r="K12" s="1"/>
    </row>
    <row r="13" spans="1:11" x14ac:dyDescent="0.25">
      <c r="A13" s="18"/>
      <c r="B13" s="19" t="s">
        <v>13</v>
      </c>
      <c r="C13" s="18">
        <v>50</v>
      </c>
      <c r="D13" s="125">
        <f>C13*6.6/100</f>
        <v>3.3</v>
      </c>
      <c r="E13" s="125">
        <f>C13*1.1/100</f>
        <v>0.55000000000000004</v>
      </c>
      <c r="F13" s="125">
        <f>C13*43.9/100</f>
        <v>21.95</v>
      </c>
      <c r="G13" s="125">
        <f t="shared" ref="G13" si="1">F13*4+E13*9+D13*4</f>
        <v>105.95</v>
      </c>
      <c r="H13" s="3"/>
      <c r="I13" s="3"/>
      <c r="J13" s="2"/>
      <c r="K13" s="1"/>
    </row>
    <row r="14" spans="1:11" x14ac:dyDescent="0.25">
      <c r="A14" s="68" t="s">
        <v>26</v>
      </c>
      <c r="B14" s="69" t="s">
        <v>14</v>
      </c>
      <c r="C14" s="124">
        <v>200</v>
      </c>
      <c r="D14" s="125">
        <f>0.6/200*C14</f>
        <v>0.6</v>
      </c>
      <c r="E14" s="125">
        <f>0/200*C14</f>
        <v>0</v>
      </c>
      <c r="F14" s="125">
        <f>31.4/200*C14</f>
        <v>31.4</v>
      </c>
      <c r="G14" s="125">
        <f>128/200*C14</f>
        <v>128</v>
      </c>
      <c r="H14" s="3"/>
      <c r="I14" s="3"/>
      <c r="J14" s="2"/>
      <c r="K14" s="1"/>
    </row>
    <row r="15" spans="1:11" x14ac:dyDescent="0.25">
      <c r="A15" s="172" t="s">
        <v>19</v>
      </c>
      <c r="B15" s="173"/>
      <c r="C15" s="87">
        <f>SUM(C11:C14)</f>
        <v>700</v>
      </c>
      <c r="D15" s="22">
        <f>SUM(D11:D14)</f>
        <v>15.200000000000001</v>
      </c>
      <c r="E15" s="22">
        <f>SUM(E11:E14)</f>
        <v>9.75</v>
      </c>
      <c r="F15" s="22">
        <f>SUM(F11:F14)</f>
        <v>74.150000000000006</v>
      </c>
      <c r="G15" s="22">
        <f>SUM(G11:G14)</f>
        <v>444.95</v>
      </c>
      <c r="H15" s="3"/>
      <c r="I15" s="3"/>
      <c r="J15" s="2"/>
      <c r="K15" s="1"/>
    </row>
    <row r="16" spans="1:11" x14ac:dyDescent="0.25">
      <c r="A16" s="170"/>
      <c r="B16" s="171"/>
      <c r="C16" s="171"/>
      <c r="D16" s="171"/>
      <c r="E16" s="171"/>
      <c r="F16" s="171"/>
      <c r="G16" s="171"/>
      <c r="H16" s="3"/>
      <c r="I16" s="3"/>
      <c r="J16" s="2"/>
      <c r="K16" s="1"/>
    </row>
    <row r="17" spans="1:11" x14ac:dyDescent="0.25">
      <c r="A17" s="172" t="s">
        <v>17</v>
      </c>
      <c r="B17" s="173"/>
      <c r="C17" s="18"/>
      <c r="D17" s="22">
        <f>D9+D15</f>
        <v>27.236000000000001</v>
      </c>
      <c r="E17" s="22">
        <f>E9+E15</f>
        <v>21.635999999999999</v>
      </c>
      <c r="F17" s="22">
        <f>F9+F15</f>
        <v>135.54400000000001</v>
      </c>
      <c r="G17" s="22">
        <f>G9+G15</f>
        <v>839.78</v>
      </c>
      <c r="H17" s="3"/>
      <c r="I17" s="3"/>
      <c r="J17" s="2"/>
      <c r="K17" s="1"/>
    </row>
  </sheetData>
  <mergeCells count="13">
    <mergeCell ref="A1:C1"/>
    <mergeCell ref="D1:G1"/>
    <mergeCell ref="D2:G2"/>
    <mergeCell ref="A17:B17"/>
    <mergeCell ref="A3:A4"/>
    <mergeCell ref="B3:B4"/>
    <mergeCell ref="C3:C4"/>
    <mergeCell ref="D3:F3"/>
    <mergeCell ref="A9:B9"/>
    <mergeCell ref="A10:G10"/>
    <mergeCell ref="A15:B15"/>
    <mergeCell ref="A16:G16"/>
    <mergeCell ref="G3:G4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view="pageBreakPreview" zoomScale="112" zoomScaleSheetLayoutView="112" workbookViewId="0">
      <selection activeCell="D3" sqref="D3"/>
    </sheetView>
  </sheetViews>
  <sheetFormatPr defaultRowHeight="15" x14ac:dyDescent="0.25"/>
  <cols>
    <col min="1" max="2" width="9.28515625" bestFit="1" customWidth="1"/>
    <col min="3" max="3" width="11" customWidth="1"/>
    <col min="4" max="4" width="11.85546875" customWidth="1"/>
  </cols>
  <sheetData>
    <row r="1" spans="1:4" ht="15.75" x14ac:dyDescent="0.25">
      <c r="A1" s="192" t="s">
        <v>6</v>
      </c>
      <c r="B1" s="192"/>
      <c r="C1" s="192"/>
      <c r="D1" s="193" t="s">
        <v>61</v>
      </c>
    </row>
    <row r="2" spans="1:4" ht="15.75" x14ac:dyDescent="0.25">
      <c r="A2" s="72" t="s">
        <v>3</v>
      </c>
      <c r="B2" s="72" t="s">
        <v>4</v>
      </c>
      <c r="C2" s="72" t="s">
        <v>5</v>
      </c>
      <c r="D2" s="193"/>
    </row>
    <row r="3" spans="1:4" ht="15.75" x14ac:dyDescent="0.25">
      <c r="A3" s="73">
        <f>('День 1'!D19+'День 2'!D19+'День 3'!D17+'День 4'!D18+'День 5'!D18+'День 6'!D19+'День 7'!D20+'День 8'!D19+'День 9'!D18+'День 10'!D19+'День 11'!D18+'День 12'!D17)/12</f>
        <v>38.695509259259261</v>
      </c>
      <c r="B3" s="73">
        <f>('День 1'!E19+'День 2'!E19+'День 3'!E17+'День 4'!E18+'День 5'!E18+'День 6'!E19+'День 7'!E20+'День 8'!E19+'День 9'!E18+'День 10'!E19+'День 11'!E18+'День 12'!E17)/12</f>
        <v>38.673220370370373</v>
      </c>
      <c r="C3" s="73">
        <f>('День 1'!F19+'День 2'!F19+'День 3'!F17+'День 4'!F18+'День 5'!F18+'День 6'!F19+'День 7'!F20+'День 8'!F19+'День 9'!F18+'День 10'!F19+'День 11'!F18+'День 12'!F17)/12</f>
        <v>199.68834999999999</v>
      </c>
      <c r="D3" s="73">
        <f>('День 1'!G19+'День 2'!G19+'День 3'!G17+'День 4'!G18+'День 5'!G18+'День 6'!G19+'День 7'!G20+'День 8'!G19+'День 9'!G18+'День 10'!G19+'День 11'!G18+'День 12'!G17)/12</f>
        <v>1317.1750092592592</v>
      </c>
    </row>
    <row r="4" spans="1:4" ht="15.75" x14ac:dyDescent="0.25">
      <c r="A4" s="73">
        <f>A3/B3</f>
        <v>1.0005763390965488</v>
      </c>
      <c r="B4" s="73">
        <f>B3/A3</f>
        <v>0.99942399287887507</v>
      </c>
      <c r="C4" s="74">
        <v>3.9</v>
      </c>
      <c r="D4" s="74"/>
    </row>
  </sheetData>
  <mergeCells count="2">
    <mergeCell ref="A1:C1"/>
    <mergeCell ref="D1:D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Normal="110" zoomScaleSheetLayoutView="100" workbookViewId="0">
      <selection activeCell="F10" sqref="F10"/>
    </sheetView>
  </sheetViews>
  <sheetFormatPr defaultRowHeight="15" x14ac:dyDescent="0.25"/>
  <cols>
    <col min="1" max="1" width="9.85546875" customWidth="1"/>
    <col min="2" max="2" width="27.85546875" customWidth="1"/>
    <col min="3" max="3" width="8" customWidth="1"/>
    <col min="4" max="4" width="7.7109375" customWidth="1"/>
    <col min="5" max="5" width="7" customWidth="1"/>
    <col min="7" max="7" width="8.85546875" customWidth="1"/>
  </cols>
  <sheetData>
    <row r="1" spans="1:11" ht="15.75" customHeight="1" x14ac:dyDescent="0.25">
      <c r="A1" s="160"/>
      <c r="B1" s="160"/>
      <c r="C1" s="160"/>
      <c r="D1" s="161"/>
      <c r="E1" s="161"/>
      <c r="F1" s="161"/>
      <c r="G1" s="161"/>
      <c r="H1" s="2"/>
      <c r="I1" s="2"/>
      <c r="J1" s="2"/>
      <c r="K1" s="1"/>
    </row>
    <row r="2" spans="1:11" ht="15.75" x14ac:dyDescent="0.25">
      <c r="A2" s="70" t="s">
        <v>55</v>
      </c>
      <c r="B2" s="70"/>
      <c r="C2" s="71"/>
      <c r="D2" s="162" t="s">
        <v>99</v>
      </c>
      <c r="E2" s="162"/>
      <c r="F2" s="162"/>
      <c r="G2" s="162"/>
      <c r="H2" s="2"/>
      <c r="I2" s="2"/>
      <c r="J2" s="2"/>
      <c r="K2" s="1"/>
    </row>
    <row r="3" spans="1:11" ht="15" customHeight="1" x14ac:dyDescent="0.25">
      <c r="A3" s="163" t="s">
        <v>0</v>
      </c>
      <c r="B3" s="163" t="s">
        <v>1</v>
      </c>
      <c r="C3" s="165" t="s">
        <v>2</v>
      </c>
      <c r="D3" s="167" t="s">
        <v>6</v>
      </c>
      <c r="E3" s="168"/>
      <c r="F3" s="169"/>
      <c r="G3" s="165" t="s">
        <v>61</v>
      </c>
      <c r="H3" s="2"/>
      <c r="I3" s="2"/>
      <c r="J3" s="2"/>
      <c r="K3" s="1"/>
    </row>
    <row r="4" spans="1:11" x14ac:dyDescent="0.25">
      <c r="A4" s="164"/>
      <c r="B4" s="164"/>
      <c r="C4" s="166"/>
      <c r="D4" s="14" t="s">
        <v>3</v>
      </c>
      <c r="E4" s="14" t="s">
        <v>4</v>
      </c>
      <c r="F4" s="14" t="s">
        <v>5</v>
      </c>
      <c r="G4" s="166"/>
      <c r="H4" s="3"/>
      <c r="I4" s="3"/>
      <c r="J4" s="2"/>
      <c r="K4" s="1"/>
    </row>
    <row r="5" spans="1:11" x14ac:dyDescent="0.25">
      <c r="A5" s="15"/>
      <c r="B5" s="16"/>
      <c r="C5" s="16"/>
      <c r="D5" s="16"/>
      <c r="E5" s="16"/>
      <c r="F5" s="17" t="s">
        <v>8</v>
      </c>
      <c r="G5" s="16"/>
      <c r="H5" s="3"/>
      <c r="I5" s="3"/>
      <c r="J5" s="2"/>
      <c r="K5" s="1"/>
    </row>
    <row r="6" spans="1:11" x14ac:dyDescent="0.25">
      <c r="A6" s="142" t="s">
        <v>66</v>
      </c>
      <c r="B6" s="143" t="s">
        <v>69</v>
      </c>
      <c r="C6" s="142">
        <v>180</v>
      </c>
      <c r="D6" s="121">
        <f>16.42/200*C6</f>
        <v>14.778</v>
      </c>
      <c r="E6" s="121">
        <f>14.1/200*C6</f>
        <v>12.69</v>
      </c>
      <c r="F6" s="144">
        <f>84.1/200*C6</f>
        <v>75.69</v>
      </c>
      <c r="G6" s="138">
        <f>486/200*C6</f>
        <v>437.40000000000003</v>
      </c>
      <c r="H6" s="3"/>
      <c r="I6" s="3"/>
      <c r="J6" s="2"/>
      <c r="K6" s="1"/>
    </row>
    <row r="7" spans="1:11" x14ac:dyDescent="0.25">
      <c r="A7" s="130" t="s">
        <v>16</v>
      </c>
      <c r="B7" s="129" t="s">
        <v>15</v>
      </c>
      <c r="C7" s="130">
        <v>200</v>
      </c>
      <c r="D7" s="131">
        <f>3.456/200*C7</f>
        <v>3.456</v>
      </c>
      <c r="E7" s="131">
        <f>3.776/200*C7</f>
        <v>3.7759999999999994</v>
      </c>
      <c r="F7" s="131">
        <f>13.284/200*C7</f>
        <v>13.284000000000001</v>
      </c>
      <c r="G7" s="131">
        <f>100.24/200*C7</f>
        <v>100.24</v>
      </c>
      <c r="H7" s="3"/>
      <c r="I7" s="3"/>
      <c r="J7" s="2"/>
      <c r="K7" s="1"/>
    </row>
    <row r="8" spans="1:11" x14ac:dyDescent="0.25">
      <c r="A8" s="175" t="s">
        <v>18</v>
      </c>
      <c r="B8" s="176"/>
      <c r="C8" s="148">
        <f>SUM(C6:C7)</f>
        <v>380</v>
      </c>
      <c r="D8" s="149">
        <f>SUM(D6:D7)</f>
        <v>18.234000000000002</v>
      </c>
      <c r="E8" s="148">
        <f>SUM(E6:E7)</f>
        <v>16.465999999999998</v>
      </c>
      <c r="F8" s="149">
        <f>SUM(F6:F7)</f>
        <v>88.974000000000004</v>
      </c>
      <c r="G8" s="149">
        <f>SUM(G6:G7)</f>
        <v>537.64</v>
      </c>
      <c r="H8" s="3"/>
      <c r="I8" s="3"/>
      <c r="J8" s="2"/>
      <c r="K8" s="1"/>
    </row>
    <row r="9" spans="1:11" x14ac:dyDescent="0.25">
      <c r="A9" s="175" t="s">
        <v>9</v>
      </c>
      <c r="B9" s="177"/>
      <c r="C9" s="177"/>
      <c r="D9" s="177"/>
      <c r="E9" s="177"/>
      <c r="F9" s="177"/>
      <c r="G9" s="177"/>
      <c r="H9" s="3"/>
      <c r="I9" s="3"/>
      <c r="J9" s="2"/>
      <c r="K9" s="1"/>
    </row>
    <row r="10" spans="1:11" ht="24" customHeight="1" x14ac:dyDescent="0.25">
      <c r="A10" s="146" t="s">
        <v>31</v>
      </c>
      <c r="B10" s="150" t="s">
        <v>30</v>
      </c>
      <c r="C10" s="151">
        <v>250</v>
      </c>
      <c r="D10" s="152">
        <f>2.4/250*C10</f>
        <v>2.4</v>
      </c>
      <c r="E10" s="152">
        <f>4.3/250*C10</f>
        <v>4.3</v>
      </c>
      <c r="F10" s="153">
        <f>10/250*C10</f>
        <v>10</v>
      </c>
      <c r="G10" s="152">
        <f>88/250*C10</f>
        <v>88</v>
      </c>
      <c r="H10" s="3"/>
      <c r="I10" s="3"/>
      <c r="J10" s="2"/>
      <c r="K10" s="10"/>
    </row>
    <row r="11" spans="1:11" x14ac:dyDescent="0.25">
      <c r="A11" s="146" t="s">
        <v>33</v>
      </c>
      <c r="B11" s="150" t="s">
        <v>32</v>
      </c>
      <c r="C11" s="146">
        <v>200</v>
      </c>
      <c r="D11" s="147">
        <f>C11*3.5/100</f>
        <v>7</v>
      </c>
      <c r="E11" s="147">
        <f>C11*4.1/100</f>
        <v>8.1999999999999993</v>
      </c>
      <c r="F11" s="147">
        <f>C11*23.5/100</f>
        <v>47</v>
      </c>
      <c r="G11" s="147">
        <f>F11*4+E11*9+D11*4</f>
        <v>289.8</v>
      </c>
      <c r="H11" s="3"/>
      <c r="I11" s="3"/>
      <c r="J11" s="2"/>
      <c r="K11" s="1"/>
    </row>
    <row r="12" spans="1:11" s="106" customFormat="1" x14ac:dyDescent="0.25">
      <c r="A12" s="146"/>
      <c r="B12" s="150" t="s">
        <v>97</v>
      </c>
      <c r="C12" s="146">
        <v>100</v>
      </c>
      <c r="D12" s="147">
        <v>0.4</v>
      </c>
      <c r="E12" s="147">
        <v>0</v>
      </c>
      <c r="F12" s="147">
        <v>11.3</v>
      </c>
      <c r="G12" s="147">
        <v>46</v>
      </c>
      <c r="H12" s="93"/>
      <c r="I12" s="93"/>
      <c r="J12" s="92"/>
      <c r="K12" s="91"/>
    </row>
    <row r="13" spans="1:11" s="106" customFormat="1" x14ac:dyDescent="0.25">
      <c r="A13" s="146"/>
      <c r="B13" s="150" t="s">
        <v>98</v>
      </c>
      <c r="C13" s="146">
        <v>200</v>
      </c>
      <c r="D13" s="147">
        <v>0</v>
      </c>
      <c r="E13" s="147">
        <v>0</v>
      </c>
      <c r="F13" s="147">
        <v>10</v>
      </c>
      <c r="G13" s="147">
        <v>45</v>
      </c>
      <c r="H13" s="93"/>
      <c r="I13" s="93"/>
      <c r="J13" s="92"/>
      <c r="K13" s="91"/>
    </row>
    <row r="14" spans="1:11" x14ac:dyDescent="0.25">
      <c r="A14" s="121" t="s">
        <v>66</v>
      </c>
      <c r="B14" s="120" t="s">
        <v>67</v>
      </c>
      <c r="C14" s="121">
        <v>100</v>
      </c>
      <c r="D14" s="154">
        <f>7.11/100*C14</f>
        <v>7.1099999999999994</v>
      </c>
      <c r="E14" s="154">
        <f>10.8/100*C14</f>
        <v>10.8</v>
      </c>
      <c r="F14" s="154">
        <f>12.39/100*C14</f>
        <v>12.39</v>
      </c>
      <c r="G14" s="154">
        <f>332.94/100*C14</f>
        <v>332.94</v>
      </c>
      <c r="H14" s="3"/>
      <c r="I14" s="3"/>
      <c r="J14" s="2"/>
      <c r="K14" s="1"/>
    </row>
    <row r="15" spans="1:11" x14ac:dyDescent="0.25">
      <c r="A15" s="146"/>
      <c r="B15" s="145" t="s">
        <v>13</v>
      </c>
      <c r="C15" s="146">
        <v>50</v>
      </c>
      <c r="D15" s="146">
        <f>C15*6.6/100</f>
        <v>3.3</v>
      </c>
      <c r="E15" s="146">
        <f>C15*1.1/100</f>
        <v>0.55000000000000004</v>
      </c>
      <c r="F15" s="146">
        <f>C15*43.9/100</f>
        <v>21.95</v>
      </c>
      <c r="G15" s="146">
        <f t="shared" ref="G15" si="0">F15*4+E15*9+D15*4</f>
        <v>105.95</v>
      </c>
      <c r="H15" s="3"/>
      <c r="I15" s="3"/>
      <c r="J15" s="2"/>
      <c r="K15" s="1"/>
    </row>
    <row r="16" spans="1:11" x14ac:dyDescent="0.25">
      <c r="A16" s="146" t="s">
        <v>22</v>
      </c>
      <c r="B16" s="145" t="s">
        <v>21</v>
      </c>
      <c r="C16" s="146">
        <v>200</v>
      </c>
      <c r="D16" s="147">
        <f>0.3/200*C16</f>
        <v>0.3</v>
      </c>
      <c r="E16" s="155">
        <f>0/200*C16</f>
        <v>0</v>
      </c>
      <c r="F16" s="147">
        <f>15.2/200*C16</f>
        <v>15.2</v>
      </c>
      <c r="G16" s="147">
        <f t="shared" ref="G16" si="1">F16*4+E16*9+D16*4</f>
        <v>62</v>
      </c>
      <c r="H16" s="3"/>
      <c r="I16" s="3"/>
      <c r="J16" s="2"/>
      <c r="K16" s="1"/>
    </row>
    <row r="17" spans="1:11" x14ac:dyDescent="0.25">
      <c r="A17" s="175" t="s">
        <v>19</v>
      </c>
      <c r="B17" s="176"/>
      <c r="C17" s="148">
        <f>SUM(C10:C16)</f>
        <v>1100</v>
      </c>
      <c r="D17" s="148">
        <f>SUM(D10:D16)</f>
        <v>20.51</v>
      </c>
      <c r="E17" s="149">
        <f>SUM(E10:E16)</f>
        <v>23.85</v>
      </c>
      <c r="F17" s="148">
        <f>SUM(F10:F16)</f>
        <v>127.84</v>
      </c>
      <c r="G17" s="149">
        <f>SUM(G10:G16)</f>
        <v>969.69</v>
      </c>
      <c r="H17" s="3"/>
      <c r="I17" s="3"/>
      <c r="J17" s="2"/>
      <c r="K17" s="1"/>
    </row>
    <row r="18" spans="1:11" x14ac:dyDescent="0.25">
      <c r="A18" s="170"/>
      <c r="B18" s="171"/>
      <c r="C18" s="171"/>
      <c r="D18" s="171"/>
      <c r="E18" s="171"/>
      <c r="F18" s="171"/>
      <c r="G18" s="171"/>
      <c r="H18" s="3"/>
      <c r="I18" s="3"/>
      <c r="J18" s="2"/>
      <c r="K18" s="1"/>
    </row>
    <row r="19" spans="1:11" x14ac:dyDescent="0.25">
      <c r="A19" s="172" t="s">
        <v>17</v>
      </c>
      <c r="B19" s="173"/>
      <c r="C19" s="18"/>
      <c r="D19" s="22">
        <f>D8+D17</f>
        <v>38.744</v>
      </c>
      <c r="E19" s="22">
        <f>E8+E17</f>
        <v>40.316000000000003</v>
      </c>
      <c r="F19" s="22">
        <f>F8+F17</f>
        <v>216.81400000000002</v>
      </c>
      <c r="G19" s="21">
        <f>G8+G17</f>
        <v>1507.33</v>
      </c>
      <c r="H19" s="3"/>
      <c r="I19" s="3"/>
      <c r="J19" s="2"/>
      <c r="K19" s="1"/>
    </row>
  </sheetData>
  <mergeCells count="13">
    <mergeCell ref="D2:G2"/>
    <mergeCell ref="D1:G1"/>
    <mergeCell ref="A1:C1"/>
    <mergeCell ref="A19:B19"/>
    <mergeCell ref="A3:A4"/>
    <mergeCell ref="B3:B4"/>
    <mergeCell ref="C3:C4"/>
    <mergeCell ref="D3:F3"/>
    <mergeCell ref="A8:B8"/>
    <mergeCell ref="A9:G9"/>
    <mergeCell ref="A17:B17"/>
    <mergeCell ref="A18:G18"/>
    <mergeCell ref="G3:G4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view="pageBreakPreview" zoomScaleNormal="110" zoomScaleSheetLayoutView="100" workbookViewId="0">
      <selection activeCell="E13" sqref="E13"/>
    </sheetView>
  </sheetViews>
  <sheetFormatPr defaultRowHeight="15" x14ac:dyDescent="0.2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6" max="6" width="10.42578125" bestFit="1" customWidth="1"/>
    <col min="7" max="7" width="8.7109375" customWidth="1"/>
  </cols>
  <sheetData>
    <row r="1" spans="1:24" ht="15.75" x14ac:dyDescent="0.25">
      <c r="A1" s="160"/>
      <c r="B1" s="160"/>
      <c r="C1" s="160"/>
      <c r="D1" s="161"/>
      <c r="E1" s="161"/>
      <c r="F1" s="161"/>
      <c r="G1" s="161"/>
    </row>
    <row r="2" spans="1:24" ht="15.75" x14ac:dyDescent="0.25">
      <c r="A2" s="70" t="s">
        <v>55</v>
      </c>
      <c r="B2" s="70"/>
      <c r="C2" s="71"/>
      <c r="D2" s="162" t="s">
        <v>100</v>
      </c>
      <c r="E2" s="162"/>
      <c r="F2" s="162"/>
      <c r="G2" s="162"/>
    </row>
    <row r="3" spans="1:24" ht="15" customHeight="1" x14ac:dyDescent="0.25">
      <c r="A3" s="178" t="s">
        <v>0</v>
      </c>
      <c r="B3" s="178" t="s">
        <v>1</v>
      </c>
      <c r="C3" s="180" t="s">
        <v>2</v>
      </c>
      <c r="D3" s="172" t="s">
        <v>6</v>
      </c>
      <c r="E3" s="174"/>
      <c r="F3" s="173"/>
      <c r="G3" s="165" t="s">
        <v>61</v>
      </c>
    </row>
    <row r="4" spans="1:24" x14ac:dyDescent="0.25">
      <c r="A4" s="179"/>
      <c r="B4" s="179"/>
      <c r="C4" s="181"/>
      <c r="D4" s="21" t="s">
        <v>3</v>
      </c>
      <c r="E4" s="21" t="s">
        <v>4</v>
      </c>
      <c r="F4" s="21" t="s">
        <v>5</v>
      </c>
      <c r="G4" s="166"/>
    </row>
    <row r="5" spans="1:24" x14ac:dyDescent="0.25">
      <c r="A5" s="15"/>
      <c r="B5" s="16"/>
      <c r="C5" s="16"/>
      <c r="D5" s="16"/>
      <c r="E5" s="16"/>
      <c r="F5" s="17" t="s">
        <v>8</v>
      </c>
      <c r="G5" s="16"/>
      <c r="H5" s="2"/>
      <c r="I5" s="2"/>
      <c r="J5" s="2"/>
      <c r="K5" s="1"/>
    </row>
    <row r="6" spans="1:24" x14ac:dyDescent="0.25">
      <c r="A6" s="156">
        <v>125</v>
      </c>
      <c r="B6" s="86" t="s">
        <v>80</v>
      </c>
      <c r="C6" s="85">
        <v>150</v>
      </c>
      <c r="D6" s="85">
        <f>4.4/150*C6</f>
        <v>4.4000000000000004</v>
      </c>
      <c r="E6" s="85">
        <f>6.3/150*C6</f>
        <v>6.2999999999999989</v>
      </c>
      <c r="F6" s="85">
        <f>21.8/150*C6</f>
        <v>21.8</v>
      </c>
      <c r="G6" s="85">
        <f>157.2/150*C6</f>
        <v>157.19999999999996</v>
      </c>
      <c r="H6" s="3"/>
      <c r="I6" s="3"/>
      <c r="J6" s="2"/>
      <c r="K6" s="1"/>
    </row>
    <row r="7" spans="1:24" s="30" customFormat="1" x14ac:dyDescent="0.25">
      <c r="A7" s="37" t="s">
        <v>68</v>
      </c>
      <c r="B7" s="123" t="s">
        <v>13</v>
      </c>
      <c r="C7" s="68">
        <v>50</v>
      </c>
      <c r="D7" s="125">
        <f>C7*6.6/100</f>
        <v>3.3</v>
      </c>
      <c r="E7" s="125">
        <f>C7*1.1/100</f>
        <v>0.55000000000000004</v>
      </c>
      <c r="F7" s="125">
        <f>C7*43.9/100</f>
        <v>21.95</v>
      </c>
      <c r="G7" s="125">
        <f t="shared" ref="G7" si="0">F7*4+E7*9+D7*4</f>
        <v>105.95</v>
      </c>
      <c r="H7" s="93"/>
      <c r="I7" s="93"/>
      <c r="J7" s="92"/>
      <c r="K7" s="91"/>
      <c r="L7" s="91"/>
      <c r="M7" s="91"/>
      <c r="N7" s="91"/>
      <c r="O7" s="91"/>
      <c r="P7" s="91"/>
      <c r="Q7" s="91"/>
      <c r="R7" s="91"/>
      <c r="S7" s="100"/>
    </row>
    <row r="8" spans="1:24" x14ac:dyDescent="0.25">
      <c r="A8" s="33" t="s">
        <v>35</v>
      </c>
      <c r="B8" s="36" t="s">
        <v>24</v>
      </c>
      <c r="C8" s="33">
        <v>200</v>
      </c>
      <c r="D8" s="34">
        <f>0.2/200*C8</f>
        <v>0.2</v>
      </c>
      <c r="E8" s="35">
        <f>0/200*C8</f>
        <v>0</v>
      </c>
      <c r="F8" s="34">
        <f>14/200*C8</f>
        <v>14.000000000000002</v>
      </c>
      <c r="G8" s="34">
        <f>F8*4+E8*9+D8*4</f>
        <v>56.800000000000004</v>
      </c>
      <c r="H8" s="3"/>
      <c r="I8" s="3"/>
      <c r="J8" s="2"/>
      <c r="K8" s="1"/>
    </row>
    <row r="9" spans="1:24" x14ac:dyDescent="0.25">
      <c r="A9" s="172" t="s">
        <v>18</v>
      </c>
      <c r="B9" s="173"/>
      <c r="C9" s="21">
        <f>SUM(C6:C8)</f>
        <v>400</v>
      </c>
      <c r="D9" s="158">
        <f>SUM(D6:D8)</f>
        <v>7.9</v>
      </c>
      <c r="E9" s="158">
        <f>SUM(E6:E8)</f>
        <v>6.8499999999999988</v>
      </c>
      <c r="F9" s="158">
        <f>SUM(F6:F8)</f>
        <v>57.75</v>
      </c>
      <c r="G9" s="158">
        <f>SUM(G6:G8)</f>
        <v>319.95</v>
      </c>
      <c r="H9" s="3"/>
      <c r="I9" s="3"/>
      <c r="J9" s="2" t="s">
        <v>7</v>
      </c>
      <c r="K9" s="1"/>
    </row>
    <row r="10" spans="1:24" ht="18" customHeight="1" x14ac:dyDescent="0.25">
      <c r="A10" s="172" t="s">
        <v>9</v>
      </c>
      <c r="B10" s="174"/>
      <c r="C10" s="174"/>
      <c r="D10" s="174"/>
      <c r="E10" s="174"/>
      <c r="F10" s="174"/>
      <c r="G10" s="174"/>
      <c r="H10" s="3"/>
      <c r="I10" s="3"/>
      <c r="J10" s="2"/>
      <c r="K10" s="1"/>
    </row>
    <row r="11" spans="1:24" ht="25.5" x14ac:dyDescent="0.25">
      <c r="A11" s="124" t="s">
        <v>81</v>
      </c>
      <c r="B11" s="116" t="s">
        <v>82</v>
      </c>
      <c r="C11" s="124">
        <v>250</v>
      </c>
      <c r="D11" s="125">
        <f>2.75/250*C11</f>
        <v>2.75</v>
      </c>
      <c r="E11" s="125">
        <f>2.5/250*C11</f>
        <v>2.5</v>
      </c>
      <c r="F11" s="125">
        <f>21/250*C11</f>
        <v>21</v>
      </c>
      <c r="G11" s="125">
        <f>120/250*C11</f>
        <v>120</v>
      </c>
      <c r="H11" s="3"/>
      <c r="I11" s="3"/>
      <c r="J11" s="2"/>
      <c r="K11" s="1"/>
    </row>
    <row r="12" spans="1:24" ht="25.5" x14ac:dyDescent="0.25">
      <c r="A12" s="128" t="s">
        <v>66</v>
      </c>
      <c r="B12" s="28" t="s">
        <v>58</v>
      </c>
      <c r="C12" s="128">
        <v>200</v>
      </c>
      <c r="D12" s="157">
        <v>8.9</v>
      </c>
      <c r="E12" s="157">
        <v>4.9000000000000004</v>
      </c>
      <c r="F12" s="157">
        <v>10.8</v>
      </c>
      <c r="G12" s="157">
        <v>123</v>
      </c>
      <c r="H12" s="3"/>
      <c r="I12" s="3"/>
      <c r="J12" s="104"/>
      <c r="K12" s="104"/>
      <c r="L12" s="105"/>
      <c r="M12" s="7"/>
      <c r="N12" s="7"/>
      <c r="O12" s="7"/>
      <c r="P12" s="105"/>
      <c r="Q12" s="7"/>
      <c r="R12" s="7"/>
      <c r="S12" s="7"/>
      <c r="T12" s="7"/>
      <c r="U12" s="7"/>
      <c r="V12" s="7"/>
      <c r="W12" s="7"/>
      <c r="X12" s="7"/>
    </row>
    <row r="13" spans="1:24" x14ac:dyDescent="0.25">
      <c r="A13" s="18"/>
      <c r="B13" s="19" t="s">
        <v>13</v>
      </c>
      <c r="C13" s="18">
        <v>50</v>
      </c>
      <c r="D13" s="18">
        <f>C13*6.6/100</f>
        <v>3.3</v>
      </c>
      <c r="E13" s="18">
        <f>C13*1.1/100</f>
        <v>0.55000000000000004</v>
      </c>
      <c r="F13" s="18">
        <f>C13*43.9/100</f>
        <v>21.95</v>
      </c>
      <c r="G13" s="18">
        <f t="shared" ref="G13" si="1">F13*4+E13*9+D13*4</f>
        <v>105.95</v>
      </c>
      <c r="H13" s="3"/>
      <c r="I13" s="3"/>
      <c r="J13" s="2"/>
      <c r="K13" s="1"/>
    </row>
    <row r="14" spans="1:24" x14ac:dyDescent="0.25">
      <c r="A14" s="124" t="s">
        <v>26</v>
      </c>
      <c r="B14" s="123" t="s">
        <v>14</v>
      </c>
      <c r="C14" s="124">
        <v>200</v>
      </c>
      <c r="D14" s="125">
        <f>0.6/200*C14</f>
        <v>0.6</v>
      </c>
      <c r="E14" s="126">
        <f>0/200*C14</f>
        <v>0</v>
      </c>
      <c r="F14" s="125">
        <f>31.4/200*C14</f>
        <v>31.4</v>
      </c>
      <c r="G14" s="126">
        <f>128/200*C14</f>
        <v>128</v>
      </c>
      <c r="H14" s="3"/>
      <c r="I14" s="3"/>
      <c r="J14" s="2"/>
      <c r="K14" s="1"/>
    </row>
    <row r="15" spans="1:24" x14ac:dyDescent="0.25">
      <c r="A15" s="172" t="s">
        <v>19</v>
      </c>
      <c r="B15" s="173"/>
      <c r="C15" s="76">
        <f>SUM(C11:C14)</f>
        <v>700</v>
      </c>
      <c r="D15" s="22">
        <f>SUM(D11:D14)</f>
        <v>15.549999999999999</v>
      </c>
      <c r="E15" s="22">
        <f>SUM(E11:E14)</f>
        <v>7.95</v>
      </c>
      <c r="F15" s="22">
        <f>SUM(F11:F14)</f>
        <v>85.15</v>
      </c>
      <c r="G15" s="22">
        <f>SUM(G11:G14)</f>
        <v>476.95</v>
      </c>
      <c r="H15" s="3"/>
      <c r="I15" s="3"/>
      <c r="J15" s="2"/>
      <c r="K15" s="1"/>
    </row>
    <row r="16" spans="1:24" x14ac:dyDescent="0.25">
      <c r="A16" s="170"/>
      <c r="B16" s="171"/>
      <c r="C16" s="171"/>
      <c r="D16" s="171"/>
      <c r="E16" s="171"/>
      <c r="F16" s="171"/>
      <c r="G16" s="171"/>
      <c r="H16" s="3"/>
      <c r="I16" s="3"/>
      <c r="J16" s="2"/>
      <c r="K16" s="1"/>
    </row>
    <row r="17" spans="1:11" x14ac:dyDescent="0.25">
      <c r="A17" s="172" t="s">
        <v>17</v>
      </c>
      <c r="B17" s="173"/>
      <c r="C17" s="18"/>
      <c r="D17" s="22">
        <f>D9+D15</f>
        <v>23.45</v>
      </c>
      <c r="E17" s="22">
        <f>E9+E15</f>
        <v>14.799999999999999</v>
      </c>
      <c r="F17" s="22">
        <f>F9+F15</f>
        <v>142.9</v>
      </c>
      <c r="G17" s="21">
        <f>G9+G15</f>
        <v>796.9</v>
      </c>
      <c r="H17" s="3"/>
      <c r="I17" s="3"/>
      <c r="J17" s="2"/>
      <c r="K17" s="1"/>
    </row>
    <row r="30" spans="1:11" x14ac:dyDescent="0.25">
      <c r="J30" t="s">
        <v>86</v>
      </c>
    </row>
  </sheetData>
  <mergeCells count="13">
    <mergeCell ref="A9:B9"/>
    <mergeCell ref="A10:G10"/>
    <mergeCell ref="A15:B15"/>
    <mergeCell ref="A16:G16"/>
    <mergeCell ref="A17:B17"/>
    <mergeCell ref="A1:C1"/>
    <mergeCell ref="D1:G1"/>
    <mergeCell ref="D2:G2"/>
    <mergeCell ref="A3:A4"/>
    <mergeCell ref="B3:B4"/>
    <mergeCell ref="C3:C4"/>
    <mergeCell ref="D3:F3"/>
    <mergeCell ref="G3:G4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Q22"/>
  <sheetViews>
    <sheetView view="pageBreakPreview" zoomScaleNormal="110" zoomScaleSheetLayoutView="100" workbookViewId="0">
      <selection activeCell="B13" sqref="B13"/>
    </sheetView>
  </sheetViews>
  <sheetFormatPr defaultRowHeight="15" x14ac:dyDescent="0.25"/>
  <cols>
    <col min="1" max="1" width="9.85546875" customWidth="1"/>
    <col min="2" max="2" width="26.42578125" customWidth="1"/>
    <col min="3" max="3" width="6.85546875" customWidth="1"/>
    <col min="4" max="4" width="7.7109375" customWidth="1"/>
    <col min="5" max="5" width="7" customWidth="1"/>
    <col min="7" max="7" width="8.5703125" customWidth="1"/>
  </cols>
  <sheetData>
    <row r="1" spans="1:433" ht="15.75" x14ac:dyDescent="0.25">
      <c r="A1" s="160"/>
      <c r="B1" s="160"/>
      <c r="C1" s="160"/>
      <c r="D1" s="161"/>
      <c r="E1" s="161"/>
      <c r="F1" s="161"/>
      <c r="G1" s="161"/>
    </row>
    <row r="2" spans="1:433" ht="15.75" x14ac:dyDescent="0.25">
      <c r="A2" s="70" t="s">
        <v>55</v>
      </c>
      <c r="B2" s="70"/>
      <c r="C2" s="71"/>
      <c r="D2" s="162" t="s">
        <v>52</v>
      </c>
      <c r="E2" s="162"/>
      <c r="F2" s="162"/>
      <c r="G2" s="162"/>
    </row>
    <row r="3" spans="1:433" ht="15" customHeight="1" x14ac:dyDescent="0.25">
      <c r="A3" s="163" t="s">
        <v>0</v>
      </c>
      <c r="B3" s="163" t="s">
        <v>1</v>
      </c>
      <c r="C3" s="165" t="s">
        <v>2</v>
      </c>
      <c r="D3" s="167" t="s">
        <v>6</v>
      </c>
      <c r="E3" s="168"/>
      <c r="F3" s="169"/>
      <c r="G3" s="165" t="s">
        <v>61</v>
      </c>
    </row>
    <row r="4" spans="1:433" x14ac:dyDescent="0.25">
      <c r="A4" s="164"/>
      <c r="B4" s="164"/>
      <c r="C4" s="166"/>
      <c r="D4" s="14" t="s">
        <v>3</v>
      </c>
      <c r="E4" s="14" t="s">
        <v>4</v>
      </c>
      <c r="F4" s="14" t="s">
        <v>5</v>
      </c>
      <c r="G4" s="166"/>
    </row>
    <row r="5" spans="1:433" ht="18" customHeight="1" x14ac:dyDescent="0.25">
      <c r="A5" s="15"/>
      <c r="B5" s="16"/>
      <c r="C5" s="16"/>
      <c r="D5" s="16"/>
      <c r="E5" s="16"/>
      <c r="F5" s="17" t="s">
        <v>8</v>
      </c>
      <c r="G5" s="16"/>
      <c r="H5" s="2"/>
      <c r="I5" s="2"/>
      <c r="J5" s="2"/>
      <c r="K5" s="1"/>
    </row>
    <row r="6" spans="1:433" ht="25.5" x14ac:dyDescent="0.25">
      <c r="A6" s="90" t="s">
        <v>28</v>
      </c>
      <c r="B6" s="132" t="s">
        <v>27</v>
      </c>
      <c r="C6" s="90">
        <v>200</v>
      </c>
      <c r="D6" s="90">
        <f>5.1/150*C6</f>
        <v>6.7999999999999989</v>
      </c>
      <c r="E6" s="89">
        <f>6.75/150*C6</f>
        <v>9</v>
      </c>
      <c r="F6" s="89">
        <f>24.9/150*C6</f>
        <v>33.199999999999996</v>
      </c>
      <c r="G6" s="89">
        <f>100.8/150*C6</f>
        <v>134.39999999999998</v>
      </c>
      <c r="H6" s="2"/>
      <c r="I6" s="2"/>
      <c r="J6" s="2"/>
      <c r="K6" s="1"/>
    </row>
    <row r="7" spans="1:433" x14ac:dyDescent="0.25">
      <c r="A7" s="43" t="s">
        <v>68</v>
      </c>
      <c r="B7" s="123" t="s">
        <v>13</v>
      </c>
      <c r="C7" s="94">
        <v>25</v>
      </c>
      <c r="D7" s="125">
        <f>C7*6.6/100</f>
        <v>1.65</v>
      </c>
      <c r="E7" s="125">
        <f>C7*1.1/100</f>
        <v>0.27500000000000002</v>
      </c>
      <c r="F7" s="125">
        <f>C7*43.9/100</f>
        <v>10.975</v>
      </c>
      <c r="G7" s="125">
        <f t="shared" ref="G7" si="0">F7*4+E7*9+D7*4</f>
        <v>52.975000000000001</v>
      </c>
      <c r="H7" s="3"/>
      <c r="I7" s="3"/>
      <c r="J7" s="2"/>
      <c r="K7" s="1"/>
    </row>
    <row r="8" spans="1:433" x14ac:dyDescent="0.25">
      <c r="A8" s="124" t="s">
        <v>25</v>
      </c>
      <c r="B8" s="123" t="s">
        <v>23</v>
      </c>
      <c r="C8" s="124">
        <v>200</v>
      </c>
      <c r="D8" s="125">
        <f>2.9*C8/100</f>
        <v>5.8</v>
      </c>
      <c r="E8" s="125">
        <f>2*C8/100</f>
        <v>4</v>
      </c>
      <c r="F8" s="125">
        <f>32.5*C8/100</f>
        <v>65</v>
      </c>
      <c r="G8" s="125">
        <f>194.6*C8/100</f>
        <v>389.2</v>
      </c>
      <c r="H8" s="3"/>
      <c r="I8" s="3"/>
      <c r="J8" s="2"/>
      <c r="K8" s="1"/>
    </row>
    <row r="9" spans="1:433" x14ac:dyDescent="0.25">
      <c r="A9" s="172" t="s">
        <v>18</v>
      </c>
      <c r="B9" s="173"/>
      <c r="C9" s="21">
        <f>SUM(C6:C8)</f>
        <v>425</v>
      </c>
      <c r="D9" s="21">
        <f>SUM(D6:D8)</f>
        <v>14.25</v>
      </c>
      <c r="E9" s="21">
        <f>SUM(E6:E8)</f>
        <v>13.275</v>
      </c>
      <c r="F9" s="22">
        <f>SUM(F6:F8)</f>
        <v>109.175</v>
      </c>
      <c r="G9" s="21">
        <f>SUM(G6:G8)</f>
        <v>576.57499999999993</v>
      </c>
      <c r="H9" s="3"/>
      <c r="I9" s="3"/>
      <c r="J9" s="2"/>
      <c r="K9" s="1"/>
    </row>
    <row r="10" spans="1:433" x14ac:dyDescent="0.25">
      <c r="A10" s="172" t="s">
        <v>9</v>
      </c>
      <c r="B10" s="174"/>
      <c r="C10" s="174"/>
      <c r="D10" s="174"/>
      <c r="E10" s="174"/>
      <c r="F10" s="174"/>
      <c r="G10" s="174"/>
      <c r="H10" s="3"/>
      <c r="I10" s="3"/>
      <c r="J10" s="2"/>
      <c r="K10" s="1"/>
    </row>
    <row r="11" spans="1:433" x14ac:dyDescent="0.25">
      <c r="A11" s="31" t="s">
        <v>29</v>
      </c>
      <c r="B11" s="116" t="s">
        <v>76</v>
      </c>
      <c r="C11" s="31">
        <v>250</v>
      </c>
      <c r="D11" s="32">
        <f>C11*1.17/100</f>
        <v>2.9249999999999998</v>
      </c>
      <c r="E11" s="32">
        <f>C11*4.05/100</f>
        <v>10.125</v>
      </c>
      <c r="F11" s="32">
        <f>C11*6.94/100</f>
        <v>17.350000000000001</v>
      </c>
      <c r="G11" s="32">
        <f t="shared" ref="G11:G14" si="1">F11*4+E11*9+D11*4</f>
        <v>172.22499999999999</v>
      </c>
      <c r="H11" s="3"/>
      <c r="I11" s="3"/>
      <c r="J11" s="2"/>
      <c r="K11" s="1"/>
    </row>
    <row r="12" spans="1:433" s="30" customFormat="1" x14ac:dyDescent="0.25">
      <c r="A12" s="18" t="s">
        <v>12</v>
      </c>
      <c r="B12" s="19" t="s">
        <v>11</v>
      </c>
      <c r="C12" s="24">
        <v>150</v>
      </c>
      <c r="D12" s="20">
        <f>C12*2.1/100</f>
        <v>3.15</v>
      </c>
      <c r="E12" s="20">
        <f>C12*4.5/100</f>
        <v>6.75</v>
      </c>
      <c r="F12" s="20">
        <f>C12*14.6/100</f>
        <v>21.9</v>
      </c>
      <c r="G12" s="20">
        <f>F12*4+E12*9+D12*4</f>
        <v>160.94999999999999</v>
      </c>
      <c r="H12" s="93"/>
      <c r="I12" s="93"/>
      <c r="J12" s="92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  <c r="IW12" s="91"/>
      <c r="IX12" s="91"/>
      <c r="IY12" s="91"/>
      <c r="IZ12" s="91"/>
      <c r="JA12" s="91"/>
      <c r="JB12" s="91"/>
      <c r="JC12" s="91"/>
      <c r="JD12" s="91"/>
      <c r="JE12" s="91"/>
      <c r="JF12" s="91"/>
      <c r="JG12" s="91"/>
      <c r="JH12" s="91"/>
      <c r="JI12" s="91"/>
      <c r="JJ12" s="91"/>
      <c r="JK12" s="91"/>
      <c r="JL12" s="91"/>
      <c r="JM12" s="91"/>
      <c r="JN12" s="91"/>
      <c r="JO12" s="91"/>
      <c r="JP12" s="91"/>
      <c r="JQ12" s="91"/>
      <c r="JR12" s="91"/>
      <c r="JS12" s="91"/>
      <c r="JT12" s="91"/>
      <c r="JU12" s="91"/>
      <c r="JV12" s="91"/>
      <c r="JW12" s="91"/>
      <c r="JX12" s="91"/>
      <c r="JY12" s="91"/>
      <c r="JZ12" s="91"/>
      <c r="KA12" s="91"/>
      <c r="KB12" s="91"/>
      <c r="KC12" s="91"/>
      <c r="KD12" s="91"/>
      <c r="KE12" s="91"/>
      <c r="KF12" s="91"/>
      <c r="KG12" s="91"/>
      <c r="KH12" s="91"/>
      <c r="KI12" s="91"/>
      <c r="KJ12" s="91"/>
      <c r="KK12" s="91"/>
      <c r="KL12" s="91"/>
      <c r="KM12" s="91"/>
      <c r="KN12" s="91"/>
      <c r="KO12" s="91"/>
      <c r="KP12" s="91"/>
      <c r="KQ12" s="91"/>
      <c r="KR12" s="91"/>
      <c r="KS12" s="91"/>
      <c r="KT12" s="91"/>
      <c r="KU12" s="91"/>
      <c r="KV12" s="91"/>
      <c r="KW12" s="91"/>
      <c r="KX12" s="91"/>
      <c r="KY12" s="91"/>
      <c r="KZ12" s="91"/>
      <c r="LA12" s="91"/>
      <c r="LB12" s="91"/>
      <c r="LC12" s="91"/>
      <c r="LD12" s="91"/>
      <c r="LE12" s="91"/>
      <c r="LF12" s="91"/>
      <c r="LG12" s="91"/>
      <c r="LH12" s="91"/>
      <c r="LI12" s="91"/>
      <c r="LJ12" s="91"/>
      <c r="LK12" s="91"/>
      <c r="LL12" s="91"/>
      <c r="LM12" s="91"/>
      <c r="LN12" s="91"/>
      <c r="LO12" s="91"/>
      <c r="LP12" s="91"/>
      <c r="LQ12" s="91"/>
      <c r="LR12" s="91"/>
      <c r="LS12" s="91"/>
      <c r="LT12" s="91"/>
      <c r="LU12" s="91"/>
      <c r="LV12" s="91"/>
      <c r="LW12" s="91"/>
      <c r="LX12" s="91"/>
      <c r="LY12" s="91"/>
      <c r="LZ12" s="91"/>
      <c r="MA12" s="91"/>
      <c r="MB12" s="91"/>
      <c r="MC12" s="91"/>
      <c r="MD12" s="91"/>
      <c r="ME12" s="91"/>
      <c r="MF12" s="91"/>
      <c r="MG12" s="91"/>
      <c r="MH12" s="91"/>
      <c r="MI12" s="91"/>
      <c r="MJ12" s="91"/>
      <c r="MK12" s="91"/>
      <c r="ML12" s="91"/>
      <c r="MM12" s="91"/>
      <c r="MN12" s="91"/>
      <c r="MO12" s="91"/>
      <c r="MP12" s="91"/>
      <c r="MQ12" s="91"/>
      <c r="MR12" s="91"/>
      <c r="MS12" s="91"/>
      <c r="MT12" s="91"/>
      <c r="MU12" s="91"/>
      <c r="MV12" s="91"/>
      <c r="MW12" s="91"/>
      <c r="MX12" s="91"/>
      <c r="MY12" s="91"/>
      <c r="MZ12" s="91"/>
      <c r="NA12" s="91"/>
      <c r="NB12" s="91"/>
      <c r="NC12" s="91"/>
      <c r="ND12" s="91"/>
      <c r="NE12" s="91"/>
      <c r="NF12" s="91"/>
      <c r="NG12" s="91"/>
      <c r="NH12" s="91"/>
      <c r="NI12" s="91"/>
      <c r="NJ12" s="91"/>
      <c r="NK12" s="91"/>
      <c r="NL12" s="91"/>
      <c r="NM12" s="91"/>
      <c r="NN12" s="91"/>
      <c r="NO12" s="91"/>
      <c r="NP12" s="91"/>
      <c r="NQ12" s="91"/>
      <c r="NR12" s="91"/>
      <c r="NS12" s="91"/>
      <c r="NT12" s="91"/>
      <c r="NU12" s="91"/>
      <c r="NV12" s="91"/>
      <c r="NW12" s="91"/>
      <c r="NX12" s="91"/>
      <c r="NY12" s="91"/>
      <c r="NZ12" s="91"/>
      <c r="OA12" s="91"/>
      <c r="OB12" s="91"/>
      <c r="OC12" s="91"/>
      <c r="OD12" s="91"/>
      <c r="OE12" s="91"/>
      <c r="OF12" s="91"/>
      <c r="OG12" s="91"/>
      <c r="OH12" s="91"/>
      <c r="OI12" s="91"/>
      <c r="OJ12" s="91"/>
      <c r="OK12" s="91"/>
      <c r="OL12" s="91"/>
      <c r="OM12" s="91"/>
      <c r="ON12" s="91"/>
      <c r="OO12" s="91"/>
      <c r="OP12" s="91"/>
      <c r="OQ12" s="91"/>
      <c r="OR12" s="91"/>
      <c r="OS12" s="91"/>
      <c r="OT12" s="91"/>
      <c r="OU12" s="91"/>
      <c r="OV12" s="91"/>
      <c r="OW12" s="91"/>
      <c r="OX12" s="91"/>
      <c r="OY12" s="91"/>
      <c r="OZ12" s="91"/>
      <c r="PA12" s="91"/>
      <c r="PB12" s="91"/>
      <c r="PC12" s="91"/>
      <c r="PD12" s="91"/>
      <c r="PE12" s="91"/>
      <c r="PF12" s="91"/>
      <c r="PG12" s="91"/>
      <c r="PH12" s="91"/>
      <c r="PI12" s="91"/>
      <c r="PJ12" s="91"/>
      <c r="PK12" s="91"/>
      <c r="PL12" s="91"/>
      <c r="PM12" s="91"/>
      <c r="PN12" s="91"/>
      <c r="PO12" s="91"/>
      <c r="PP12" s="91"/>
      <c r="PQ12" s="91"/>
    </row>
    <row r="13" spans="1:433" s="91" customFormat="1" x14ac:dyDescent="0.25">
      <c r="A13" s="124" t="s">
        <v>87</v>
      </c>
      <c r="B13" s="194" t="s">
        <v>88</v>
      </c>
      <c r="C13" s="124">
        <v>100</v>
      </c>
      <c r="D13" s="125">
        <v>12.88</v>
      </c>
      <c r="E13" s="125">
        <v>10.199999999999999</v>
      </c>
      <c r="F13" s="125">
        <v>3.27</v>
      </c>
      <c r="G13" s="125">
        <v>156.26</v>
      </c>
      <c r="H13" s="93"/>
      <c r="I13" s="93"/>
      <c r="J13" s="92"/>
    </row>
    <row r="14" spans="1:433" x14ac:dyDescent="0.25">
      <c r="A14" s="94" t="s">
        <v>70</v>
      </c>
      <c r="B14" s="123" t="s">
        <v>13</v>
      </c>
      <c r="C14" s="33">
        <v>50</v>
      </c>
      <c r="D14" s="33">
        <f>C14*7.7/100</f>
        <v>3.85</v>
      </c>
      <c r="E14" s="34">
        <f>C14*0.8/100</f>
        <v>0.4</v>
      </c>
      <c r="F14" s="33">
        <f>C14*49.5/100</f>
        <v>24.75</v>
      </c>
      <c r="G14" s="34">
        <f t="shared" si="1"/>
        <v>118</v>
      </c>
      <c r="H14" s="3"/>
      <c r="I14" s="3"/>
      <c r="J14" s="2"/>
      <c r="K14" s="1"/>
    </row>
    <row r="15" spans="1:433" x14ac:dyDescent="0.25">
      <c r="A15" s="45" t="s">
        <v>48</v>
      </c>
      <c r="B15" s="47" t="s">
        <v>47</v>
      </c>
      <c r="C15" s="45">
        <v>200</v>
      </c>
      <c r="D15" s="46">
        <f>0.4/200*C15</f>
        <v>0.4</v>
      </c>
      <c r="E15" s="46">
        <f>0.27/200*C15</f>
        <v>0.27</v>
      </c>
      <c r="F15" s="46">
        <f>17.2/200*C15</f>
        <v>17.2</v>
      </c>
      <c r="G15" s="46">
        <f>72.83/200*C15</f>
        <v>72.83</v>
      </c>
      <c r="H15" s="3"/>
      <c r="I15" s="3"/>
      <c r="J15" s="2"/>
      <c r="K15" s="1"/>
    </row>
    <row r="16" spans="1:433" x14ac:dyDescent="0.25">
      <c r="A16" s="172" t="s">
        <v>19</v>
      </c>
      <c r="B16" s="173"/>
      <c r="C16" s="76">
        <f>SUM(C11:C15)</f>
        <v>750</v>
      </c>
      <c r="D16" s="134">
        <f>SUM(D11:D15)</f>
        <v>23.204999999999998</v>
      </c>
      <c r="E16" s="134">
        <f>SUM(E11:E15)</f>
        <v>27.744999999999997</v>
      </c>
      <c r="F16" s="134">
        <f>SUM(F11:F15)</f>
        <v>84.470000000000013</v>
      </c>
      <c r="G16" s="134">
        <f>SUM(G11:G15)</f>
        <v>680.26499999999999</v>
      </c>
      <c r="H16" s="3"/>
      <c r="I16" s="3"/>
      <c r="J16" s="2"/>
      <c r="K16" s="1"/>
    </row>
    <row r="17" spans="1:11" x14ac:dyDescent="0.25">
      <c r="A17" s="170"/>
      <c r="B17" s="171"/>
      <c r="C17" s="171"/>
      <c r="D17" s="171"/>
      <c r="E17" s="171"/>
      <c r="F17" s="171"/>
      <c r="G17" s="171"/>
      <c r="H17" s="3"/>
      <c r="I17" s="3"/>
      <c r="J17" s="2"/>
      <c r="K17" s="1"/>
    </row>
    <row r="18" spans="1:11" x14ac:dyDescent="0.25">
      <c r="A18" s="172" t="s">
        <v>17</v>
      </c>
      <c r="B18" s="173"/>
      <c r="C18" s="18"/>
      <c r="D18" s="22">
        <f>D9+D16</f>
        <v>37.454999999999998</v>
      </c>
      <c r="E18" s="22">
        <f>E9+E16</f>
        <v>41.019999999999996</v>
      </c>
      <c r="F18" s="22">
        <f>F9+F16</f>
        <v>193.64500000000001</v>
      </c>
      <c r="G18" s="21">
        <f>G9+G16</f>
        <v>1256.8399999999999</v>
      </c>
      <c r="H18" s="3"/>
      <c r="I18" s="3"/>
      <c r="J18" s="2"/>
      <c r="K18" s="1"/>
    </row>
    <row r="21" spans="1:11" x14ac:dyDescent="0.25">
      <c r="C21" s="78"/>
      <c r="D21" s="79"/>
      <c r="E21" s="79"/>
      <c r="F21" s="79"/>
      <c r="G21" s="79"/>
    </row>
    <row r="22" spans="1:11" x14ac:dyDescent="0.25">
      <c r="C22" s="80"/>
      <c r="D22" s="80"/>
      <c r="E22" s="80"/>
      <c r="F22" s="80"/>
      <c r="G22" s="80"/>
    </row>
  </sheetData>
  <mergeCells count="13">
    <mergeCell ref="A17:G17"/>
    <mergeCell ref="A18:B18"/>
    <mergeCell ref="A9:B9"/>
    <mergeCell ref="A1:C1"/>
    <mergeCell ref="D1:G1"/>
    <mergeCell ref="D2:G2"/>
    <mergeCell ref="A10:G10"/>
    <mergeCell ref="A16:B16"/>
    <mergeCell ref="A3:A4"/>
    <mergeCell ref="B3:B4"/>
    <mergeCell ref="C3:C4"/>
    <mergeCell ref="D3:F3"/>
    <mergeCell ref="G3:G4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Normal="110" zoomScaleSheetLayoutView="100" workbookViewId="0">
      <selection activeCell="D8" sqref="D8:G8"/>
    </sheetView>
  </sheetViews>
  <sheetFormatPr defaultRowHeight="15" x14ac:dyDescent="0.2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9.140625" customWidth="1"/>
  </cols>
  <sheetData>
    <row r="1" spans="1:13" ht="15.75" x14ac:dyDescent="0.25">
      <c r="A1" s="160"/>
      <c r="B1" s="160"/>
      <c r="C1" s="160"/>
      <c r="D1" s="161"/>
      <c r="E1" s="161"/>
      <c r="F1" s="161"/>
      <c r="G1" s="161"/>
    </row>
    <row r="2" spans="1:13" ht="15.75" x14ac:dyDescent="0.25">
      <c r="A2" s="70" t="s">
        <v>55</v>
      </c>
      <c r="B2" s="70"/>
      <c r="C2" s="71"/>
      <c r="D2" s="162" t="s">
        <v>53</v>
      </c>
      <c r="E2" s="162"/>
      <c r="F2" s="162"/>
      <c r="G2" s="162"/>
    </row>
    <row r="3" spans="1:13" ht="18" customHeight="1" x14ac:dyDescent="0.25">
      <c r="A3" s="163" t="s">
        <v>0</v>
      </c>
      <c r="B3" s="163" t="s">
        <v>1</v>
      </c>
      <c r="C3" s="165" t="s">
        <v>2</v>
      </c>
      <c r="D3" s="167" t="s">
        <v>6</v>
      </c>
      <c r="E3" s="168"/>
      <c r="F3" s="169"/>
      <c r="G3" s="165" t="s">
        <v>61</v>
      </c>
      <c r="H3" s="2"/>
      <c r="I3" s="2"/>
      <c r="J3" s="2"/>
      <c r="K3" s="1"/>
    </row>
    <row r="4" spans="1:13" x14ac:dyDescent="0.25">
      <c r="A4" s="164"/>
      <c r="B4" s="164"/>
      <c r="C4" s="166"/>
      <c r="D4" s="14" t="s">
        <v>3</v>
      </c>
      <c r="E4" s="14" t="s">
        <v>4</v>
      </c>
      <c r="F4" s="14" t="s">
        <v>5</v>
      </c>
      <c r="G4" s="166"/>
      <c r="H4" s="2"/>
      <c r="I4" s="2"/>
      <c r="J4" s="2"/>
      <c r="K4" s="1"/>
    </row>
    <row r="5" spans="1:13" x14ac:dyDescent="0.25">
      <c r="A5" s="15"/>
      <c r="B5" s="64"/>
      <c r="C5" s="64"/>
      <c r="D5" s="64"/>
      <c r="E5" s="64"/>
      <c r="F5" s="65" t="s">
        <v>8</v>
      </c>
      <c r="G5" s="64"/>
      <c r="H5" s="2"/>
      <c r="I5" s="2"/>
      <c r="J5" s="2"/>
      <c r="K5" s="1"/>
    </row>
    <row r="6" spans="1:13" s="50" customFormat="1" x14ac:dyDescent="0.25">
      <c r="A6" s="82"/>
      <c r="B6" s="86"/>
      <c r="C6" s="85"/>
      <c r="D6" s="85"/>
      <c r="E6" s="85"/>
      <c r="F6" s="85"/>
      <c r="G6" s="85"/>
      <c r="H6" s="52"/>
      <c r="I6" s="52"/>
      <c r="J6" s="52"/>
      <c r="K6" s="51"/>
    </row>
    <row r="7" spans="1:13" ht="25.5" x14ac:dyDescent="0.25">
      <c r="A7" s="121" t="s">
        <v>40</v>
      </c>
      <c r="B7" s="133" t="s">
        <v>39</v>
      </c>
      <c r="C7" s="121">
        <v>180</v>
      </c>
      <c r="D7" s="121">
        <f>8.65/150*C7</f>
        <v>10.38</v>
      </c>
      <c r="E7" s="121">
        <f>18.1/150*C7</f>
        <v>21.720000000000002</v>
      </c>
      <c r="F7" s="138">
        <f>29.95/150*C7</f>
        <v>35.94</v>
      </c>
      <c r="G7" s="121">
        <f>282.2/150*C7</f>
        <v>338.64</v>
      </c>
      <c r="H7" s="3"/>
      <c r="I7" s="3"/>
      <c r="J7" s="2"/>
      <c r="K7" s="1"/>
    </row>
    <row r="8" spans="1:13" s="50" customFormat="1" x14ac:dyDescent="0.25">
      <c r="A8" s="57"/>
      <c r="B8" s="123" t="s">
        <v>13</v>
      </c>
      <c r="C8" s="68">
        <v>40</v>
      </c>
      <c r="D8" s="125">
        <f>C8*6.6/100</f>
        <v>2.64</v>
      </c>
      <c r="E8" s="125">
        <f>C8*1.1/100</f>
        <v>0.44</v>
      </c>
      <c r="F8" s="125">
        <f>C8*43.9/100</f>
        <v>17.559999999999999</v>
      </c>
      <c r="G8" s="125">
        <f t="shared" ref="G8" si="0">F8*4+E8*9+D8*4</f>
        <v>84.759999999999991</v>
      </c>
      <c r="H8" s="53"/>
      <c r="I8" s="53"/>
      <c r="J8" s="52"/>
      <c r="K8" s="51"/>
    </row>
    <row r="9" spans="1:13" x14ac:dyDescent="0.25">
      <c r="A9" s="94" t="s">
        <v>35</v>
      </c>
      <c r="B9" s="97" t="s">
        <v>24</v>
      </c>
      <c r="C9" s="94">
        <v>200</v>
      </c>
      <c r="D9" s="95">
        <f>0.2/200*C9</f>
        <v>0.2</v>
      </c>
      <c r="E9" s="96">
        <f>0/200*C9</f>
        <v>0</v>
      </c>
      <c r="F9" s="95">
        <f>14/200*C9</f>
        <v>14.000000000000002</v>
      </c>
      <c r="G9" s="95">
        <f>F9*4+E9*9+D9*4</f>
        <v>56.800000000000004</v>
      </c>
      <c r="H9" s="3"/>
      <c r="I9" s="3"/>
      <c r="J9" s="2"/>
      <c r="K9" s="1"/>
    </row>
    <row r="10" spans="1:13" x14ac:dyDescent="0.25">
      <c r="A10" s="182" t="s">
        <v>18</v>
      </c>
      <c r="B10" s="183"/>
      <c r="C10" s="75">
        <f>SUM(C7:C9)</f>
        <v>420</v>
      </c>
      <c r="D10" s="88">
        <f>SUM(D7:D9)</f>
        <v>13.22</v>
      </c>
      <c r="E10" s="88">
        <f>SUM(E7:E9)</f>
        <v>22.160000000000004</v>
      </c>
      <c r="F10" s="88">
        <f>SUM(F7:F9)</f>
        <v>67.5</v>
      </c>
      <c r="G10" s="88">
        <f>SUM(G7:G9)</f>
        <v>480.2</v>
      </c>
      <c r="H10" s="3"/>
      <c r="I10" s="3"/>
      <c r="J10" s="2" t="s">
        <v>7</v>
      </c>
      <c r="K10" s="1"/>
    </row>
    <row r="11" spans="1:13" x14ac:dyDescent="0.25">
      <c r="A11" s="172" t="s">
        <v>9</v>
      </c>
      <c r="B11" s="174"/>
      <c r="C11" s="174"/>
      <c r="D11" s="174"/>
      <c r="E11" s="174"/>
      <c r="F11" s="174"/>
      <c r="G11" s="174"/>
      <c r="H11" s="3"/>
      <c r="I11" s="3"/>
      <c r="J11" s="2"/>
      <c r="K11" s="1"/>
    </row>
    <row r="12" spans="1:13" x14ac:dyDescent="0.25">
      <c r="A12" s="110" t="s">
        <v>56</v>
      </c>
      <c r="B12" s="111" t="s">
        <v>57</v>
      </c>
      <c r="C12" s="110">
        <v>280</v>
      </c>
      <c r="D12" s="110">
        <f>2.2/250*C12</f>
        <v>2.464</v>
      </c>
      <c r="E12" s="110">
        <f>2.78/250*C12</f>
        <v>3.1135999999999999</v>
      </c>
      <c r="F12" s="110">
        <f>15.38/250*C12</f>
        <v>17.2256</v>
      </c>
      <c r="G12" s="110">
        <f>106/250*C12</f>
        <v>118.72</v>
      </c>
      <c r="H12" s="3"/>
      <c r="I12" s="3"/>
      <c r="J12" s="2"/>
      <c r="K12" s="1"/>
    </row>
    <row r="13" spans="1:13" x14ac:dyDescent="0.25">
      <c r="A13" s="99" t="s">
        <v>66</v>
      </c>
      <c r="B13" s="98" t="s">
        <v>71</v>
      </c>
      <c r="C13" s="99">
        <v>250</v>
      </c>
      <c r="D13" s="99">
        <f>25.25/250*C13</f>
        <v>25.25</v>
      </c>
      <c r="E13" s="99">
        <f>29.56/250*C13</f>
        <v>29.56</v>
      </c>
      <c r="F13" s="99">
        <f>86.76/250*C13</f>
        <v>86.76</v>
      </c>
      <c r="G13" s="99">
        <f>810.72/250*C13</f>
        <v>810.72</v>
      </c>
      <c r="H13" s="3"/>
      <c r="I13" s="3"/>
      <c r="J13" s="2"/>
      <c r="K13" s="1"/>
    </row>
    <row r="14" spans="1:13" s="106" customFormat="1" x14ac:dyDescent="0.25">
      <c r="A14" s="124"/>
      <c r="B14" s="123" t="s">
        <v>13</v>
      </c>
      <c r="C14" s="124">
        <v>50</v>
      </c>
      <c r="D14" s="124">
        <f>C14*6.6/100</f>
        <v>3.3</v>
      </c>
      <c r="E14" s="124">
        <f>C14*1.1/100</f>
        <v>0.55000000000000004</v>
      </c>
      <c r="F14" s="124">
        <f>C14*43.9/100</f>
        <v>21.95</v>
      </c>
      <c r="G14" s="124">
        <f t="shared" ref="G14" si="1">F14*4+E14*9+D14*4</f>
        <v>105.95</v>
      </c>
      <c r="H14" s="93"/>
      <c r="I14" s="93"/>
      <c r="J14" s="92"/>
      <c r="K14" s="91"/>
    </row>
    <row r="15" spans="1:13" x14ac:dyDescent="0.25">
      <c r="A15" s="18" t="s">
        <v>22</v>
      </c>
      <c r="B15" s="27" t="s">
        <v>21</v>
      </c>
      <c r="C15" s="124">
        <v>200</v>
      </c>
      <c r="D15" s="125">
        <f>0.3/200*C15</f>
        <v>0.3</v>
      </c>
      <c r="E15" s="126">
        <f>0/200*C15</f>
        <v>0</v>
      </c>
      <c r="F15" s="125">
        <f>15.2/200*C15</f>
        <v>15.2</v>
      </c>
      <c r="G15" s="125">
        <f t="shared" ref="G15" si="2">F15*4+E15*9+D15*4</f>
        <v>62</v>
      </c>
      <c r="H15" s="44"/>
      <c r="I15" s="3"/>
      <c r="J15" s="2"/>
      <c r="K15" s="1"/>
    </row>
    <row r="16" spans="1:13" x14ac:dyDescent="0.25">
      <c r="A16" s="172" t="s">
        <v>19</v>
      </c>
      <c r="B16" s="173"/>
      <c r="C16" s="76">
        <f>SUM(C12:C15)</f>
        <v>780</v>
      </c>
      <c r="D16" s="158">
        <f>SUM(D12:D15)</f>
        <v>31.314</v>
      </c>
      <c r="E16" s="158">
        <f>SUM(E12:E15)</f>
        <v>33.223599999999998</v>
      </c>
      <c r="F16" s="158">
        <f>SUM(F12:F15)</f>
        <v>141.13560000000001</v>
      </c>
      <c r="G16" s="158">
        <f>SUM(G12:G15)</f>
        <v>1097.3900000000001</v>
      </c>
      <c r="H16" s="3"/>
      <c r="I16" s="3"/>
      <c r="J16" s="2"/>
      <c r="K16" s="1"/>
      <c r="M16" s="26"/>
    </row>
    <row r="17" spans="1:11" x14ac:dyDescent="0.25">
      <c r="A17" s="170"/>
      <c r="B17" s="171"/>
      <c r="C17" s="171"/>
      <c r="D17" s="171"/>
      <c r="E17" s="171"/>
      <c r="F17" s="171"/>
      <c r="G17" s="171"/>
      <c r="H17" s="3"/>
      <c r="I17" s="3"/>
      <c r="J17" s="2"/>
      <c r="K17" s="1"/>
    </row>
    <row r="18" spans="1:11" x14ac:dyDescent="0.25">
      <c r="A18" s="172" t="s">
        <v>17</v>
      </c>
      <c r="B18" s="173"/>
      <c r="C18" s="18"/>
      <c r="D18" s="22">
        <f>D10+D16</f>
        <v>44.533999999999999</v>
      </c>
      <c r="E18" s="21">
        <f>E10+E16</f>
        <v>55.383600000000001</v>
      </c>
      <c r="F18" s="22">
        <f>F10+F16</f>
        <v>208.63560000000001</v>
      </c>
      <c r="G18" s="21">
        <f>G10+G16</f>
        <v>1577.5900000000001</v>
      </c>
      <c r="H18" s="3"/>
      <c r="I18" s="3"/>
      <c r="J18" s="2"/>
      <c r="K18" s="1"/>
    </row>
  </sheetData>
  <mergeCells count="13">
    <mergeCell ref="A17:G17"/>
    <mergeCell ref="A18:B18"/>
    <mergeCell ref="A10:B10"/>
    <mergeCell ref="A11:G11"/>
    <mergeCell ref="A16:B16"/>
    <mergeCell ref="C3:C4"/>
    <mergeCell ref="D3:F3"/>
    <mergeCell ref="G3:G4"/>
    <mergeCell ref="A1:C1"/>
    <mergeCell ref="D1:G1"/>
    <mergeCell ref="D2:G2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Normal="110" zoomScaleSheetLayoutView="100" workbookViewId="0">
      <selection activeCell="I9" sqref="I9"/>
    </sheetView>
  </sheetViews>
  <sheetFormatPr defaultRowHeight="15" x14ac:dyDescent="0.25"/>
  <cols>
    <col min="1" max="1" width="8.140625" customWidth="1"/>
    <col min="2" max="2" width="28.42578125" customWidth="1"/>
    <col min="3" max="3" width="8" customWidth="1"/>
    <col min="4" max="4" width="7.7109375" customWidth="1"/>
    <col min="5" max="5" width="7" customWidth="1"/>
    <col min="6" max="6" width="10" bestFit="1" customWidth="1"/>
    <col min="7" max="7" width="9.42578125" customWidth="1"/>
  </cols>
  <sheetData>
    <row r="1" spans="1:11" ht="15.75" x14ac:dyDescent="0.25">
      <c r="A1" s="160"/>
      <c r="B1" s="160"/>
      <c r="C1" s="160"/>
      <c r="D1" s="161"/>
      <c r="E1" s="161"/>
      <c r="F1" s="161"/>
      <c r="G1" s="161"/>
    </row>
    <row r="2" spans="1:11" ht="15.75" x14ac:dyDescent="0.25">
      <c r="A2" s="70" t="s">
        <v>55</v>
      </c>
      <c r="B2" s="70"/>
      <c r="C2" s="71"/>
      <c r="D2" s="162" t="s">
        <v>100</v>
      </c>
      <c r="E2" s="162"/>
      <c r="F2" s="162"/>
      <c r="G2" s="162"/>
    </row>
    <row r="3" spans="1:11" ht="24" customHeight="1" x14ac:dyDescent="0.25">
      <c r="A3" s="163" t="s">
        <v>0</v>
      </c>
      <c r="B3" s="163" t="s">
        <v>1</v>
      </c>
      <c r="C3" s="165" t="s">
        <v>2</v>
      </c>
      <c r="D3" s="167" t="s">
        <v>6</v>
      </c>
      <c r="E3" s="168"/>
      <c r="F3" s="169"/>
      <c r="G3" s="165" t="s">
        <v>61</v>
      </c>
      <c r="H3" s="2"/>
      <c r="I3" s="2"/>
      <c r="J3" s="2"/>
      <c r="K3" s="1"/>
    </row>
    <row r="4" spans="1:11" ht="18.75" customHeight="1" x14ac:dyDescent="0.25">
      <c r="A4" s="164"/>
      <c r="B4" s="164"/>
      <c r="C4" s="166"/>
      <c r="D4" s="14" t="s">
        <v>3</v>
      </c>
      <c r="E4" s="14" t="s">
        <v>4</v>
      </c>
      <c r="F4" s="14" t="s">
        <v>5</v>
      </c>
      <c r="G4" s="166"/>
      <c r="H4" s="2"/>
      <c r="I4" s="2"/>
      <c r="J4" s="2"/>
      <c r="K4" s="1"/>
    </row>
    <row r="5" spans="1:11" x14ac:dyDescent="0.25">
      <c r="A5" s="15"/>
      <c r="B5" s="16"/>
      <c r="C5" s="16"/>
      <c r="D5" s="64"/>
      <c r="E5" s="64"/>
      <c r="F5" s="65" t="s">
        <v>8</v>
      </c>
      <c r="G5" s="64"/>
      <c r="H5" s="2"/>
      <c r="I5" s="2"/>
      <c r="J5" s="2"/>
      <c r="K5" s="1"/>
    </row>
    <row r="6" spans="1:11" x14ac:dyDescent="0.25">
      <c r="A6" s="124" t="s">
        <v>59</v>
      </c>
      <c r="B6" s="116" t="s">
        <v>60</v>
      </c>
      <c r="C6" s="124">
        <v>200</v>
      </c>
      <c r="D6" s="66">
        <f>4.8/200*C6</f>
        <v>4.8</v>
      </c>
      <c r="E6" s="66">
        <f>7/200*C6</f>
        <v>7.0000000000000009</v>
      </c>
      <c r="F6" s="67">
        <f>51.6/200*C6</f>
        <v>51.6</v>
      </c>
      <c r="G6" s="124">
        <f>288.6/200*C6</f>
        <v>288.60000000000002</v>
      </c>
      <c r="H6" s="3"/>
      <c r="I6" s="3"/>
      <c r="J6" s="2"/>
      <c r="K6" s="1"/>
    </row>
    <row r="7" spans="1:11" x14ac:dyDescent="0.25">
      <c r="A7" s="42" t="s">
        <v>68</v>
      </c>
      <c r="B7" s="123" t="s">
        <v>13</v>
      </c>
      <c r="C7" s="124">
        <v>30</v>
      </c>
      <c r="D7" s="125">
        <f>C7*6.6/100</f>
        <v>1.98</v>
      </c>
      <c r="E7" s="125">
        <f>C7*1.1/100</f>
        <v>0.33</v>
      </c>
      <c r="F7" s="125">
        <f>C7*43.9/100</f>
        <v>13.17</v>
      </c>
      <c r="G7" s="125">
        <f t="shared" ref="G7" si="0">F7*4+E7*9+D7*4</f>
        <v>63.57</v>
      </c>
      <c r="H7" s="3"/>
      <c r="I7" s="3"/>
      <c r="J7" s="2"/>
      <c r="K7" s="1"/>
    </row>
    <row r="8" spans="1:11" x14ac:dyDescent="0.25">
      <c r="A8" s="119" t="s">
        <v>16</v>
      </c>
      <c r="B8" s="117" t="s">
        <v>15</v>
      </c>
      <c r="C8" s="119">
        <v>200</v>
      </c>
      <c r="D8" s="118">
        <f>3.456/200*C8</f>
        <v>3.456</v>
      </c>
      <c r="E8" s="118">
        <f>3.776/200*C8</f>
        <v>3.7759999999999994</v>
      </c>
      <c r="F8" s="118">
        <f>13.284/200*C8</f>
        <v>13.284000000000001</v>
      </c>
      <c r="G8" s="118">
        <f>100.24/200*C8</f>
        <v>100.24</v>
      </c>
      <c r="H8" s="3"/>
      <c r="I8" s="3"/>
      <c r="J8" s="2"/>
      <c r="K8" s="1"/>
    </row>
    <row r="9" spans="1:11" x14ac:dyDescent="0.25">
      <c r="A9" s="172" t="s">
        <v>18</v>
      </c>
      <c r="B9" s="173"/>
      <c r="C9" s="21">
        <f>SUM(C6:C8)</f>
        <v>430</v>
      </c>
      <c r="D9" s="21">
        <f>SUM(D6:D8)</f>
        <v>10.235999999999999</v>
      </c>
      <c r="E9" s="21">
        <f>SUM(E6:E8)</f>
        <v>11.106</v>
      </c>
      <c r="F9" s="22">
        <f>SUM(F6:F8)</f>
        <v>78.054000000000002</v>
      </c>
      <c r="G9" s="21">
        <f>SUM(G6:G8)</f>
        <v>452.41</v>
      </c>
      <c r="H9" s="3"/>
      <c r="I9" s="3"/>
      <c r="J9" s="2" t="s">
        <v>7</v>
      </c>
      <c r="K9" s="1"/>
    </row>
    <row r="10" spans="1:11" x14ac:dyDescent="0.25">
      <c r="A10" s="172" t="s">
        <v>9</v>
      </c>
      <c r="B10" s="174"/>
      <c r="C10" s="174"/>
      <c r="D10" s="174"/>
      <c r="E10" s="174"/>
      <c r="F10" s="174"/>
      <c r="G10" s="174"/>
      <c r="H10" s="3"/>
      <c r="I10" s="3"/>
      <c r="J10" s="2"/>
      <c r="K10" s="1"/>
    </row>
    <row r="11" spans="1:11" x14ac:dyDescent="0.25">
      <c r="A11" s="124" t="s">
        <v>38</v>
      </c>
      <c r="B11" s="116" t="s">
        <v>37</v>
      </c>
      <c r="C11" s="124">
        <v>250</v>
      </c>
      <c r="D11" s="125">
        <f>2.23/250*C11</f>
        <v>2.23</v>
      </c>
      <c r="E11" s="125">
        <f>2.98/250*C11</f>
        <v>2.98</v>
      </c>
      <c r="F11" s="125">
        <f>16.63/250*C11</f>
        <v>16.63</v>
      </c>
      <c r="G11" s="125">
        <f>101.3/250*C11</f>
        <v>101.3</v>
      </c>
      <c r="H11" s="3"/>
      <c r="I11" s="3"/>
      <c r="J11" s="2"/>
      <c r="K11" s="1"/>
    </row>
    <row r="12" spans="1:11" s="106" customFormat="1" x14ac:dyDescent="0.25">
      <c r="A12" s="108" t="s">
        <v>12</v>
      </c>
      <c r="B12" s="107" t="s">
        <v>11</v>
      </c>
      <c r="C12" s="109">
        <v>150</v>
      </c>
      <c r="D12" s="58">
        <f>C12*2.1/100</f>
        <v>3.15</v>
      </c>
      <c r="E12" s="58">
        <f>C12*4.5/100</f>
        <v>6.75</v>
      </c>
      <c r="F12" s="58">
        <f>C12*14.6/100</f>
        <v>21.9</v>
      </c>
      <c r="G12" s="58">
        <f t="shared" ref="G12:G15" si="1">F12*4+E12*9+D12*4</f>
        <v>160.94999999999999</v>
      </c>
      <c r="H12" s="93"/>
      <c r="I12" s="93"/>
      <c r="J12" s="92"/>
      <c r="K12" s="91"/>
    </row>
    <row r="13" spans="1:11" x14ac:dyDescent="0.25">
      <c r="A13" s="124" t="s">
        <v>44</v>
      </c>
      <c r="B13" s="123" t="s">
        <v>43</v>
      </c>
      <c r="C13" s="124">
        <v>100</v>
      </c>
      <c r="D13" s="125">
        <f>C13*17.5/100</f>
        <v>17.5</v>
      </c>
      <c r="E13" s="125">
        <f>C13*14.9/100</f>
        <v>14.9</v>
      </c>
      <c r="F13" s="125">
        <f>C13*9/100</f>
        <v>9</v>
      </c>
      <c r="G13" s="125">
        <f t="shared" si="1"/>
        <v>240.1</v>
      </c>
      <c r="H13" s="3"/>
      <c r="I13" s="3"/>
      <c r="J13" s="2"/>
      <c r="K13" s="1"/>
    </row>
    <row r="14" spans="1:11" s="106" customFormat="1" x14ac:dyDescent="0.25">
      <c r="A14" s="124"/>
      <c r="B14" s="123" t="s">
        <v>103</v>
      </c>
      <c r="C14" s="124">
        <v>100</v>
      </c>
      <c r="D14" s="125">
        <v>0.4</v>
      </c>
      <c r="E14" s="125">
        <v>0</v>
      </c>
      <c r="F14" s="125">
        <v>11.3</v>
      </c>
      <c r="G14" s="125">
        <v>46</v>
      </c>
      <c r="H14" s="93"/>
      <c r="I14" s="93"/>
      <c r="J14" s="92"/>
      <c r="K14" s="91"/>
    </row>
    <row r="15" spans="1:11" x14ac:dyDescent="0.25">
      <c r="A15" s="18"/>
      <c r="B15" s="123" t="s">
        <v>13</v>
      </c>
      <c r="C15" s="18">
        <v>50</v>
      </c>
      <c r="D15" s="18">
        <f>C15*7.7/100</f>
        <v>3.85</v>
      </c>
      <c r="E15" s="20">
        <f>C15*0.8/100</f>
        <v>0.4</v>
      </c>
      <c r="F15" s="18">
        <f>C15*49.5/100</f>
        <v>24.75</v>
      </c>
      <c r="G15" s="20">
        <f t="shared" si="1"/>
        <v>118</v>
      </c>
      <c r="H15" s="3"/>
      <c r="I15" s="3"/>
      <c r="J15" s="2"/>
      <c r="K15" s="1"/>
    </row>
    <row r="16" spans="1:11" x14ac:dyDescent="0.25">
      <c r="A16" s="60"/>
      <c r="B16" s="59" t="s">
        <v>63</v>
      </c>
      <c r="C16" s="54">
        <v>200</v>
      </c>
      <c r="D16" s="83">
        <f>1/200*C16</f>
        <v>1</v>
      </c>
      <c r="E16" s="84">
        <f>0.2/200*C16</f>
        <v>0.2</v>
      </c>
      <c r="F16" s="84">
        <f>50.2/200*C16</f>
        <v>50.2</v>
      </c>
      <c r="G16" s="84">
        <f>86.6/200*C16</f>
        <v>86.6</v>
      </c>
      <c r="H16" s="3"/>
      <c r="I16" s="3"/>
      <c r="J16" s="2"/>
      <c r="K16" s="1"/>
    </row>
    <row r="17" spans="1:11" x14ac:dyDescent="0.25">
      <c r="A17" s="172" t="s">
        <v>19</v>
      </c>
      <c r="B17" s="173"/>
      <c r="C17" s="76">
        <f>SUM(C11:C16)</f>
        <v>850</v>
      </c>
      <c r="D17" s="22">
        <f>SUM(D11:D16)</f>
        <v>28.13</v>
      </c>
      <c r="E17" s="22">
        <f>SUM(E11:E16)</f>
        <v>25.23</v>
      </c>
      <c r="F17" s="22">
        <f>SUM(F11:F16)</f>
        <v>133.78</v>
      </c>
      <c r="G17" s="22">
        <f>SUM(G11:G16)</f>
        <v>752.95</v>
      </c>
      <c r="H17" s="3"/>
      <c r="I17" s="3"/>
      <c r="J17" s="2"/>
      <c r="K17" s="1"/>
    </row>
    <row r="18" spans="1:11" x14ac:dyDescent="0.25">
      <c r="A18" s="170"/>
      <c r="B18" s="171"/>
      <c r="C18" s="171"/>
      <c r="D18" s="171"/>
      <c r="E18" s="171"/>
      <c r="F18" s="171"/>
      <c r="G18" s="171"/>
      <c r="H18" s="3"/>
      <c r="I18" s="3"/>
      <c r="J18" s="2"/>
      <c r="K18" s="1"/>
    </row>
    <row r="19" spans="1:11" x14ac:dyDescent="0.25">
      <c r="A19" s="172" t="s">
        <v>17</v>
      </c>
      <c r="B19" s="173"/>
      <c r="C19" s="18"/>
      <c r="D19" s="22">
        <f>D9+D17</f>
        <v>38.366</v>
      </c>
      <c r="E19" s="22">
        <f>E9+E17</f>
        <v>36.335999999999999</v>
      </c>
      <c r="F19" s="22">
        <f>F9+F17</f>
        <v>211.834</v>
      </c>
      <c r="G19" s="22">
        <f>G9+G17</f>
        <v>1205.3600000000001</v>
      </c>
      <c r="H19" s="3"/>
      <c r="I19" s="3"/>
      <c r="J19" s="2"/>
      <c r="K19" s="1"/>
    </row>
  </sheetData>
  <mergeCells count="13">
    <mergeCell ref="A17:B17"/>
    <mergeCell ref="A18:G18"/>
    <mergeCell ref="A19:B19"/>
    <mergeCell ref="A10:G10"/>
    <mergeCell ref="A9:B9"/>
    <mergeCell ref="A1:C1"/>
    <mergeCell ref="D1:G1"/>
    <mergeCell ref="D2:G2"/>
    <mergeCell ref="A3:A4"/>
    <mergeCell ref="B3:B4"/>
    <mergeCell ref="C3:C4"/>
    <mergeCell ref="D3:F3"/>
    <mergeCell ref="G3:G4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Normal="110" zoomScaleSheetLayoutView="100" workbookViewId="0">
      <selection activeCell="F15" sqref="F15"/>
    </sheetView>
  </sheetViews>
  <sheetFormatPr defaultRowHeight="15" x14ac:dyDescent="0.2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8.5703125" customWidth="1"/>
    <col min="8" max="8" width="6.7109375" customWidth="1"/>
  </cols>
  <sheetData>
    <row r="1" spans="1:11" ht="15.75" x14ac:dyDescent="0.25">
      <c r="A1" s="160"/>
      <c r="B1" s="160"/>
      <c r="C1" s="160"/>
      <c r="D1" s="161"/>
      <c r="E1" s="161"/>
      <c r="F1" s="161"/>
      <c r="G1" s="161"/>
    </row>
    <row r="2" spans="1:11" ht="15.75" x14ac:dyDescent="0.25">
      <c r="A2" s="70" t="s">
        <v>55</v>
      </c>
      <c r="B2" s="70"/>
      <c r="C2" s="71"/>
      <c r="D2" s="162" t="s">
        <v>50</v>
      </c>
      <c r="E2" s="162"/>
      <c r="F2" s="162"/>
      <c r="G2" s="162"/>
    </row>
    <row r="3" spans="1:11" ht="18" customHeight="1" x14ac:dyDescent="0.25">
      <c r="A3" s="186" t="s">
        <v>0</v>
      </c>
      <c r="B3" s="186" t="s">
        <v>1</v>
      </c>
      <c r="C3" s="187" t="s">
        <v>2</v>
      </c>
      <c r="D3" s="186" t="s">
        <v>6</v>
      </c>
      <c r="E3" s="186"/>
      <c r="F3" s="186"/>
      <c r="G3" s="165" t="s">
        <v>61</v>
      </c>
      <c r="H3" s="184"/>
      <c r="I3" s="2"/>
      <c r="J3" s="2"/>
      <c r="K3" s="1"/>
    </row>
    <row r="4" spans="1:11" ht="34.5" customHeight="1" x14ac:dyDescent="0.25">
      <c r="A4" s="186"/>
      <c r="B4" s="186"/>
      <c r="C4" s="187"/>
      <c r="D4" s="14" t="s">
        <v>3</v>
      </c>
      <c r="E4" s="14" t="s">
        <v>4</v>
      </c>
      <c r="F4" s="14" t="s">
        <v>5</v>
      </c>
      <c r="G4" s="166"/>
      <c r="H4" s="184"/>
      <c r="I4" s="2"/>
      <c r="J4" s="2"/>
      <c r="K4" s="1"/>
    </row>
    <row r="5" spans="1:11" x14ac:dyDescent="0.25">
      <c r="A5" s="172" t="s">
        <v>8</v>
      </c>
      <c r="B5" s="174"/>
      <c r="C5" s="174"/>
      <c r="D5" s="174"/>
      <c r="E5" s="174"/>
      <c r="F5" s="174"/>
      <c r="G5" s="174"/>
      <c r="H5" s="11"/>
      <c r="I5" s="2"/>
      <c r="J5" s="2"/>
      <c r="K5" s="1"/>
    </row>
    <row r="6" spans="1:11" ht="15" customHeight="1" x14ac:dyDescent="0.25">
      <c r="A6" s="121" t="s">
        <v>49</v>
      </c>
      <c r="B6" s="133" t="s">
        <v>36</v>
      </c>
      <c r="C6" s="121">
        <v>150</v>
      </c>
      <c r="D6" s="127">
        <f>C6*3.5/100</f>
        <v>5.25</v>
      </c>
      <c r="E6" s="121">
        <f>C6*4.6/100</f>
        <v>6.9</v>
      </c>
      <c r="F6" s="127">
        <f>C6*16.7/100</f>
        <v>25.05</v>
      </c>
      <c r="G6" s="121">
        <f>F6*4+E6*9+D6*4</f>
        <v>183.3</v>
      </c>
      <c r="H6" s="11"/>
      <c r="I6" s="3"/>
      <c r="J6" s="2"/>
      <c r="K6" s="1"/>
    </row>
    <row r="7" spans="1:11" x14ac:dyDescent="0.25">
      <c r="A7" s="42"/>
      <c r="B7" s="123" t="s">
        <v>13</v>
      </c>
      <c r="C7" s="68">
        <v>50</v>
      </c>
      <c r="D7" s="125">
        <f>C7*6.6/100</f>
        <v>3.3</v>
      </c>
      <c r="E7" s="125">
        <f>C7*1.1/100</f>
        <v>0.55000000000000004</v>
      </c>
      <c r="F7" s="125">
        <f>C7*43.9/100</f>
        <v>21.95</v>
      </c>
      <c r="G7" s="125">
        <f t="shared" ref="G7" si="0">F7*4+E7*9+D7*4</f>
        <v>105.95</v>
      </c>
      <c r="H7" s="29"/>
      <c r="I7" s="3"/>
      <c r="J7" s="2"/>
      <c r="K7" s="1"/>
    </row>
    <row r="8" spans="1:11" x14ac:dyDescent="0.25">
      <c r="A8" s="124" t="s">
        <v>25</v>
      </c>
      <c r="B8" s="123" t="s">
        <v>23</v>
      </c>
      <c r="C8" s="124">
        <v>200</v>
      </c>
      <c r="D8" s="125">
        <f>2.9*C8/100</f>
        <v>5.8</v>
      </c>
      <c r="E8" s="125">
        <f>2*C8/100</f>
        <v>4</v>
      </c>
      <c r="F8" s="125">
        <f>32.5*C8/100</f>
        <v>65</v>
      </c>
      <c r="G8" s="125">
        <f>194.6*C8/100</f>
        <v>389.2</v>
      </c>
      <c r="H8" s="11"/>
      <c r="I8" s="3"/>
      <c r="J8" s="2"/>
      <c r="K8" s="1"/>
    </row>
    <row r="9" spans="1:11" x14ac:dyDescent="0.25">
      <c r="A9" s="185" t="s">
        <v>18</v>
      </c>
      <c r="B9" s="185"/>
      <c r="C9" s="21">
        <f>SUM(C6:C8)</f>
        <v>400</v>
      </c>
      <c r="D9" s="21">
        <f>SUM(D6:D8)</f>
        <v>14.350000000000001</v>
      </c>
      <c r="E9" s="21">
        <f>SUM(E6:E8)</f>
        <v>11.45</v>
      </c>
      <c r="F9" s="22">
        <f>SUM(F6:F8)</f>
        <v>112</v>
      </c>
      <c r="G9" s="22">
        <f>SUM(G6:G8)</f>
        <v>678.45</v>
      </c>
      <c r="H9" s="11"/>
      <c r="I9" s="3"/>
      <c r="J9" s="2" t="s">
        <v>7</v>
      </c>
      <c r="K9" s="1"/>
    </row>
    <row r="10" spans="1:11" x14ac:dyDescent="0.25">
      <c r="A10" s="172" t="s">
        <v>9</v>
      </c>
      <c r="B10" s="174"/>
      <c r="C10" s="174"/>
      <c r="D10" s="174"/>
      <c r="E10" s="174"/>
      <c r="F10" s="174"/>
      <c r="G10" s="174"/>
      <c r="H10" s="12"/>
      <c r="I10" s="3"/>
      <c r="J10" s="2"/>
      <c r="K10" s="1"/>
    </row>
    <row r="11" spans="1:11" x14ac:dyDescent="0.25">
      <c r="A11" s="18" t="s">
        <v>42</v>
      </c>
      <c r="B11" s="19" t="s">
        <v>41</v>
      </c>
      <c r="C11" s="18">
        <v>250</v>
      </c>
      <c r="D11" s="20">
        <f>13.5/250*C11</f>
        <v>13.5</v>
      </c>
      <c r="E11" s="20">
        <f>3.6/250*C11</f>
        <v>3.6</v>
      </c>
      <c r="F11" s="20">
        <f>12.5/250*C11</f>
        <v>12.5</v>
      </c>
      <c r="G11" s="20">
        <f>136.4/250*C11</f>
        <v>136.4</v>
      </c>
      <c r="H11" s="11"/>
      <c r="I11" s="3"/>
      <c r="J11" s="2"/>
      <c r="K11" s="1"/>
    </row>
    <row r="12" spans="1:11" x14ac:dyDescent="0.25">
      <c r="A12" s="101" t="s">
        <v>33</v>
      </c>
      <c r="B12" s="103" t="s">
        <v>32</v>
      </c>
      <c r="C12" s="101">
        <v>180</v>
      </c>
      <c r="D12" s="102">
        <f>C12*3.5/100</f>
        <v>6.3</v>
      </c>
      <c r="E12" s="102">
        <f>C12*4.1/100</f>
        <v>7.379999999999999</v>
      </c>
      <c r="F12" s="102">
        <f>C12*23.5/100</f>
        <v>42.3</v>
      </c>
      <c r="G12" s="102">
        <f t="shared" ref="G12:G16" si="1">F12*4+E12*9+D12*4</f>
        <v>260.82</v>
      </c>
      <c r="H12" s="11"/>
      <c r="I12" s="3"/>
      <c r="J12" s="2"/>
      <c r="K12" s="1"/>
    </row>
    <row r="13" spans="1:11" x14ac:dyDescent="0.25">
      <c r="A13" s="110" t="s">
        <v>84</v>
      </c>
      <c r="B13" s="111" t="s">
        <v>85</v>
      </c>
      <c r="C13" s="110">
        <v>100</v>
      </c>
      <c r="D13" s="84">
        <f>8.05/90*C13</f>
        <v>8.9444444444444446</v>
      </c>
      <c r="E13" s="84">
        <f>9.19/90*C13</f>
        <v>10.21111111111111</v>
      </c>
      <c r="F13" s="84">
        <f>7.77/90*C13</f>
        <v>8.6333333333333329</v>
      </c>
      <c r="G13" s="84">
        <f>151/90*C13</f>
        <v>167.77777777777777</v>
      </c>
      <c r="H13" s="11"/>
      <c r="I13" s="3"/>
      <c r="J13" s="2"/>
      <c r="K13" s="10"/>
    </row>
    <row r="14" spans="1:11" x14ac:dyDescent="0.25">
      <c r="A14" s="18" t="s">
        <v>34</v>
      </c>
      <c r="B14" s="19" t="s">
        <v>20</v>
      </c>
      <c r="C14" s="18">
        <v>40</v>
      </c>
      <c r="D14" s="18">
        <f>C14*1.3/50</f>
        <v>1.04</v>
      </c>
      <c r="E14" s="18">
        <f>C14*4.8/50</f>
        <v>3.84</v>
      </c>
      <c r="F14" s="18">
        <f>C14*4.7/50</f>
        <v>3.76</v>
      </c>
      <c r="G14" s="18">
        <f t="shared" si="1"/>
        <v>53.760000000000005</v>
      </c>
      <c r="H14" s="11"/>
      <c r="I14" s="3"/>
      <c r="J14" s="2"/>
      <c r="K14" s="1"/>
    </row>
    <row r="15" spans="1:11" s="106" customFormat="1" x14ac:dyDescent="0.25">
      <c r="A15" s="124"/>
      <c r="B15" s="123" t="s">
        <v>97</v>
      </c>
      <c r="C15" s="124">
        <v>100</v>
      </c>
      <c r="D15" s="125">
        <v>0.4</v>
      </c>
      <c r="E15" s="125">
        <v>0</v>
      </c>
      <c r="F15" s="125">
        <v>11.3</v>
      </c>
      <c r="G15" s="125">
        <v>46</v>
      </c>
      <c r="H15" s="11"/>
      <c r="I15" s="93"/>
      <c r="J15" s="92"/>
      <c r="K15" s="91"/>
    </row>
    <row r="16" spans="1:11" x14ac:dyDescent="0.25">
      <c r="A16" s="18"/>
      <c r="B16" s="19" t="s">
        <v>13</v>
      </c>
      <c r="C16" s="18">
        <v>50</v>
      </c>
      <c r="D16" s="18">
        <f>C16*6.6/100</f>
        <v>3.3</v>
      </c>
      <c r="E16" s="18">
        <f>C16*1.1/100</f>
        <v>0.55000000000000004</v>
      </c>
      <c r="F16" s="18">
        <f>C16*43.9/100</f>
        <v>21.95</v>
      </c>
      <c r="G16" s="18">
        <f t="shared" si="1"/>
        <v>105.95</v>
      </c>
      <c r="H16" s="11"/>
      <c r="I16" s="3"/>
      <c r="J16" s="2"/>
      <c r="K16" s="1"/>
    </row>
    <row r="17" spans="1:11" x14ac:dyDescent="0.25">
      <c r="A17" s="60" t="s">
        <v>64</v>
      </c>
      <c r="B17" s="28" t="s">
        <v>65</v>
      </c>
      <c r="C17" s="60">
        <v>200</v>
      </c>
      <c r="D17" s="60">
        <f>0.16/200*C17</f>
        <v>0.16</v>
      </c>
      <c r="E17" s="60">
        <f>0.16/200*C17</f>
        <v>0.16</v>
      </c>
      <c r="F17" s="60">
        <f>23.88/200*C17</f>
        <v>23.88</v>
      </c>
      <c r="G17" s="60">
        <f>97.6/200*C17</f>
        <v>97.6</v>
      </c>
      <c r="H17" s="11"/>
      <c r="I17" s="3"/>
      <c r="J17" s="2"/>
      <c r="K17" s="1"/>
    </row>
    <row r="18" spans="1:11" x14ac:dyDescent="0.25">
      <c r="A18" s="185" t="s">
        <v>19</v>
      </c>
      <c r="B18" s="185"/>
      <c r="C18" s="77">
        <f>SUM(C11:C17)</f>
        <v>920</v>
      </c>
      <c r="D18" s="22">
        <f>SUM(D11:D17)</f>
        <v>33.644444444444439</v>
      </c>
      <c r="E18" s="21">
        <f>SUM(E11:E17)</f>
        <v>25.74111111111111</v>
      </c>
      <c r="F18" s="21">
        <f>SUM(F11:F17)</f>
        <v>124.32333333333332</v>
      </c>
      <c r="G18" s="21">
        <f>SUM(G11:G17)</f>
        <v>868.30777777777791</v>
      </c>
      <c r="H18" s="11"/>
      <c r="I18" s="3"/>
      <c r="J18" s="2"/>
      <c r="K18" s="1"/>
    </row>
    <row r="19" spans="1:11" x14ac:dyDescent="0.25">
      <c r="A19" s="188"/>
      <c r="B19" s="189"/>
      <c r="C19" s="189"/>
      <c r="D19" s="189"/>
      <c r="E19" s="189"/>
      <c r="F19" s="189"/>
      <c r="G19" s="189"/>
      <c r="H19" s="13"/>
      <c r="I19" s="3"/>
      <c r="J19" s="2"/>
      <c r="K19" s="1"/>
    </row>
    <row r="20" spans="1:11" x14ac:dyDescent="0.25">
      <c r="A20" s="185" t="s">
        <v>17</v>
      </c>
      <c r="B20" s="185"/>
      <c r="C20" s="18"/>
      <c r="D20" s="22">
        <f>D9+D18</f>
        <v>47.99444444444444</v>
      </c>
      <c r="E20" s="21">
        <f>E9+E18</f>
        <v>37.191111111111113</v>
      </c>
      <c r="F20" s="22">
        <f>F9+F18</f>
        <v>236.32333333333332</v>
      </c>
      <c r="G20" s="21">
        <f>G9+G18</f>
        <v>1546.7577777777778</v>
      </c>
      <c r="H20" s="11"/>
      <c r="I20" s="3"/>
      <c r="J20" s="2"/>
      <c r="K20" s="1"/>
    </row>
  </sheetData>
  <mergeCells count="15">
    <mergeCell ref="A18:B18"/>
    <mergeCell ref="A20:B20"/>
    <mergeCell ref="A3:A4"/>
    <mergeCell ref="B3:B4"/>
    <mergeCell ref="C3:C4"/>
    <mergeCell ref="A5:G5"/>
    <mergeCell ref="A10:G10"/>
    <mergeCell ref="A19:G19"/>
    <mergeCell ref="A1:C1"/>
    <mergeCell ref="D1:G1"/>
    <mergeCell ref="D2:G2"/>
    <mergeCell ref="H3:H4"/>
    <mergeCell ref="A9:B9"/>
    <mergeCell ref="D3:F3"/>
    <mergeCell ref="G3:G4"/>
  </mergeCells>
  <pageMargins left="0.39370078740157483" right="0.70866141732283472" top="0.74803149606299213" bottom="0.74803149606299213" header="0.31496062992125984" footer="0.31496062992125984"/>
  <pageSetup paperSize="9" scale="1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10" zoomScaleSheetLayoutView="100" workbookViewId="0">
      <selection activeCell="I12" sqref="I12"/>
    </sheetView>
  </sheetViews>
  <sheetFormatPr defaultRowHeight="15" x14ac:dyDescent="0.25"/>
  <cols>
    <col min="1" max="1" width="9.85546875" customWidth="1"/>
    <col min="2" max="2" width="27.7109375" customWidth="1"/>
    <col min="3" max="3" width="7" customWidth="1"/>
    <col min="4" max="4" width="6.42578125" customWidth="1"/>
    <col min="5" max="5" width="5.85546875" customWidth="1"/>
    <col min="6" max="6" width="8.140625" customWidth="1"/>
    <col min="7" max="7" width="9.42578125" customWidth="1"/>
  </cols>
  <sheetData>
    <row r="1" spans="1:10" ht="15.75" x14ac:dyDescent="0.25">
      <c r="A1" s="160"/>
      <c r="B1" s="160"/>
      <c r="C1" s="160"/>
      <c r="D1" s="161"/>
      <c r="E1" s="161"/>
      <c r="F1" s="161"/>
      <c r="G1" s="161"/>
    </row>
    <row r="2" spans="1:10" ht="15.75" x14ac:dyDescent="0.25">
      <c r="A2" s="70" t="s">
        <v>55</v>
      </c>
      <c r="B2" s="70"/>
      <c r="C2" s="71"/>
      <c r="D2" s="162" t="s">
        <v>101</v>
      </c>
      <c r="E2" s="162"/>
      <c r="F2" s="162"/>
      <c r="G2" s="162"/>
    </row>
    <row r="3" spans="1:10" ht="18" customHeight="1" x14ac:dyDescent="0.25">
      <c r="A3" s="163" t="s">
        <v>0</v>
      </c>
      <c r="B3" s="163" t="s">
        <v>1</v>
      </c>
      <c r="C3" s="165" t="s">
        <v>2</v>
      </c>
      <c r="D3" s="167" t="s">
        <v>6</v>
      </c>
      <c r="E3" s="168"/>
      <c r="F3" s="169"/>
      <c r="G3" s="165" t="s">
        <v>61</v>
      </c>
      <c r="H3" s="2"/>
      <c r="I3" s="2"/>
      <c r="J3" s="1"/>
    </row>
    <row r="4" spans="1:10" x14ac:dyDescent="0.25">
      <c r="A4" s="164"/>
      <c r="B4" s="164"/>
      <c r="C4" s="166"/>
      <c r="D4" s="14" t="s">
        <v>3</v>
      </c>
      <c r="E4" s="14" t="s">
        <v>4</v>
      </c>
      <c r="F4" s="14" t="s">
        <v>5</v>
      </c>
      <c r="G4" s="166"/>
      <c r="H4" s="2"/>
      <c r="I4" s="2"/>
      <c r="J4" s="1"/>
    </row>
    <row r="5" spans="1:10" x14ac:dyDescent="0.25">
      <c r="A5" s="15"/>
      <c r="B5" s="16"/>
      <c r="C5" s="16"/>
      <c r="D5" s="16"/>
      <c r="E5" s="16"/>
      <c r="F5" s="17" t="s">
        <v>8</v>
      </c>
      <c r="G5" s="16"/>
      <c r="H5" s="2"/>
      <c r="I5" s="2"/>
      <c r="J5" s="1"/>
    </row>
    <row r="6" spans="1:10" ht="25.5" x14ac:dyDescent="0.25">
      <c r="A6" s="124" t="s">
        <v>89</v>
      </c>
      <c r="B6" s="195" t="s">
        <v>90</v>
      </c>
      <c r="C6" s="124">
        <v>250</v>
      </c>
      <c r="D6" s="125">
        <v>6.87</v>
      </c>
      <c r="E6" s="125">
        <v>6.97</v>
      </c>
      <c r="F6" s="125">
        <v>22.15</v>
      </c>
      <c r="G6" s="125">
        <v>178.77</v>
      </c>
      <c r="H6" s="3"/>
      <c r="I6" s="2"/>
      <c r="J6" s="1"/>
    </row>
    <row r="7" spans="1:10" s="106" customFormat="1" x14ac:dyDescent="0.25">
      <c r="A7" s="94"/>
      <c r="B7" s="123" t="s">
        <v>13</v>
      </c>
      <c r="C7" s="124">
        <v>40</v>
      </c>
      <c r="D7" s="125">
        <f>C7*6.6/100</f>
        <v>2.64</v>
      </c>
      <c r="E7" s="125">
        <f>C7*1.1/100</f>
        <v>0.44</v>
      </c>
      <c r="F7" s="125">
        <f>C7*43.9/100</f>
        <v>17.559999999999999</v>
      </c>
      <c r="G7" s="125">
        <f t="shared" ref="G7" si="0">F7*4+E7*9+D7*4</f>
        <v>84.759999999999991</v>
      </c>
      <c r="H7" s="93"/>
      <c r="I7" s="92"/>
      <c r="J7" s="91"/>
    </row>
    <row r="8" spans="1:10" x14ac:dyDescent="0.25">
      <c r="A8" s="119" t="s">
        <v>16</v>
      </c>
      <c r="B8" s="117" t="s">
        <v>15</v>
      </c>
      <c r="C8" s="119">
        <v>200</v>
      </c>
      <c r="D8" s="118">
        <f>3.456/200*C8</f>
        <v>3.456</v>
      </c>
      <c r="E8" s="118">
        <f>3.776/200*C8</f>
        <v>3.7759999999999994</v>
      </c>
      <c r="F8" s="118">
        <f>13.284/200*C8</f>
        <v>13.284000000000001</v>
      </c>
      <c r="G8" s="118">
        <f>100.24/200*C8</f>
        <v>100.24</v>
      </c>
      <c r="H8" s="3"/>
      <c r="I8" s="2"/>
      <c r="J8" s="1"/>
    </row>
    <row r="9" spans="1:10" x14ac:dyDescent="0.25">
      <c r="A9" s="172" t="s">
        <v>18</v>
      </c>
      <c r="B9" s="173"/>
      <c r="C9" s="21">
        <f>SUM(C6:C8)</f>
        <v>490</v>
      </c>
      <c r="D9" s="21">
        <f>SUM(D6:D8)</f>
        <v>12.965999999999999</v>
      </c>
      <c r="E9" s="21">
        <f>SUM(E6:E8)</f>
        <v>11.186</v>
      </c>
      <c r="F9" s="22">
        <f>SUM(F6:F8)</f>
        <v>52.993999999999993</v>
      </c>
      <c r="G9" s="21">
        <f>SUM(G6:G8)</f>
        <v>363.77</v>
      </c>
      <c r="H9" s="3"/>
      <c r="I9" s="2" t="s">
        <v>7</v>
      </c>
      <c r="J9" s="1"/>
    </row>
    <row r="10" spans="1:10" x14ac:dyDescent="0.25">
      <c r="A10" s="190"/>
      <c r="B10" s="191"/>
      <c r="C10" s="191"/>
      <c r="D10" s="191"/>
      <c r="E10" s="191"/>
      <c r="F10" s="191"/>
      <c r="G10" s="191"/>
      <c r="H10" s="3"/>
      <c r="I10" s="2"/>
      <c r="J10" s="1"/>
    </row>
    <row r="11" spans="1:10" s="106" customFormat="1" x14ac:dyDescent="0.25">
      <c r="A11" s="115" t="s">
        <v>10</v>
      </c>
      <c r="B11" s="113" t="s">
        <v>77</v>
      </c>
      <c r="C11" s="115">
        <v>250</v>
      </c>
      <c r="D11" s="114">
        <f>6.52/250*C11</f>
        <v>6.52</v>
      </c>
      <c r="E11" s="114">
        <f>10.4/250*C11</f>
        <v>10.4</v>
      </c>
      <c r="F11" s="114">
        <f>13.9/250*C11</f>
        <v>13.9</v>
      </c>
      <c r="G11" s="114">
        <f>218.88/250*C11</f>
        <v>218.88</v>
      </c>
      <c r="H11" s="93"/>
      <c r="I11" s="92"/>
      <c r="J11" s="91"/>
    </row>
    <row r="12" spans="1:10" x14ac:dyDescent="0.25">
      <c r="A12" s="61" t="s">
        <v>91</v>
      </c>
      <c r="B12" s="196" t="s">
        <v>92</v>
      </c>
      <c r="C12" s="61">
        <v>180</v>
      </c>
      <c r="D12" s="124">
        <v>10.62</v>
      </c>
      <c r="E12" s="124">
        <v>6.12</v>
      </c>
      <c r="F12" s="62">
        <v>56.88</v>
      </c>
      <c r="G12" s="124">
        <v>325.08</v>
      </c>
      <c r="H12" s="3"/>
      <c r="I12" s="2"/>
      <c r="J12" s="1"/>
    </row>
    <row r="13" spans="1:10" x14ac:dyDescent="0.25">
      <c r="A13" s="61" t="s">
        <v>93</v>
      </c>
      <c r="B13" s="196" t="s">
        <v>94</v>
      </c>
      <c r="C13" s="61">
        <v>100</v>
      </c>
      <c r="D13" s="124">
        <v>7.1</v>
      </c>
      <c r="E13" s="124">
        <v>17</v>
      </c>
      <c r="F13" s="62">
        <v>9.98</v>
      </c>
      <c r="G13" s="124">
        <v>201</v>
      </c>
      <c r="H13" s="3"/>
      <c r="I13" s="2"/>
      <c r="J13" s="1"/>
    </row>
    <row r="14" spans="1:10" s="106" customFormat="1" x14ac:dyDescent="0.25">
      <c r="A14" s="61"/>
      <c r="B14" s="196" t="s">
        <v>102</v>
      </c>
      <c r="C14" s="61">
        <v>100</v>
      </c>
      <c r="D14" s="124">
        <v>2.8</v>
      </c>
      <c r="E14" s="124">
        <v>2.7</v>
      </c>
      <c r="F14" s="62">
        <v>11.5</v>
      </c>
      <c r="G14" s="124">
        <v>53.8</v>
      </c>
      <c r="H14" s="93"/>
      <c r="I14" s="92"/>
      <c r="J14" s="91"/>
    </row>
    <row r="15" spans="1:10" x14ac:dyDescent="0.25">
      <c r="A15" s="18"/>
      <c r="B15" s="19" t="s">
        <v>13</v>
      </c>
      <c r="C15" s="18">
        <v>50</v>
      </c>
      <c r="D15" s="18">
        <f>C15*6.6/100</f>
        <v>3.3</v>
      </c>
      <c r="E15" s="18">
        <f>C15*1.1/100</f>
        <v>0.55000000000000004</v>
      </c>
      <c r="F15" s="18">
        <f>C15*43.9/100</f>
        <v>21.95</v>
      </c>
      <c r="G15" s="18">
        <f t="shared" ref="G15" si="1">F15*4+E15*9+D15*4</f>
        <v>105.95</v>
      </c>
      <c r="H15" s="3"/>
      <c r="I15" s="2"/>
      <c r="J15" s="1"/>
    </row>
    <row r="16" spans="1:10" x14ac:dyDescent="0.25">
      <c r="A16" s="94" t="s">
        <v>35</v>
      </c>
      <c r="B16" s="97" t="s">
        <v>24</v>
      </c>
      <c r="C16" s="94">
        <v>200</v>
      </c>
      <c r="D16" s="95">
        <f>0.2/200*C16</f>
        <v>0.2</v>
      </c>
      <c r="E16" s="96">
        <f>0/200*C16</f>
        <v>0</v>
      </c>
      <c r="F16" s="95">
        <f>14/200*C16</f>
        <v>14.000000000000002</v>
      </c>
      <c r="G16" s="95">
        <f>F16*4+E16*9+D16*4</f>
        <v>56.800000000000004</v>
      </c>
      <c r="H16" s="3"/>
      <c r="I16" s="2"/>
      <c r="J16" s="1"/>
    </row>
    <row r="17" spans="1:10" x14ac:dyDescent="0.25">
      <c r="A17" s="172" t="s">
        <v>19</v>
      </c>
      <c r="B17" s="173"/>
      <c r="C17" s="76">
        <f>SUM(C11:C16)</f>
        <v>880</v>
      </c>
      <c r="D17" s="22">
        <f>SUM(D11:D16)</f>
        <v>30.540000000000003</v>
      </c>
      <c r="E17" s="22">
        <f>SUM(E11:E16)</f>
        <v>36.769999999999996</v>
      </c>
      <c r="F17" s="22">
        <f>SUM(F11:F16)</f>
        <v>128.21</v>
      </c>
      <c r="G17" s="21">
        <f>SUM(G11:G16)</f>
        <v>961.51</v>
      </c>
      <c r="H17" s="3"/>
      <c r="I17" s="2"/>
      <c r="J17" s="1"/>
    </row>
    <row r="18" spans="1:10" x14ac:dyDescent="0.25">
      <c r="A18" s="170"/>
      <c r="B18" s="171"/>
      <c r="C18" s="171"/>
      <c r="D18" s="171"/>
      <c r="E18" s="171"/>
      <c r="F18" s="171"/>
      <c r="G18" s="171"/>
      <c r="H18" s="3"/>
      <c r="I18" s="2"/>
      <c r="J18" s="1"/>
    </row>
    <row r="19" spans="1:10" x14ac:dyDescent="0.25">
      <c r="A19" s="172" t="s">
        <v>17</v>
      </c>
      <c r="B19" s="173"/>
      <c r="C19" s="18"/>
      <c r="D19" s="22">
        <f>D9+D17</f>
        <v>43.506</v>
      </c>
      <c r="E19" s="22">
        <f>E9+E17</f>
        <v>47.955999999999996</v>
      </c>
      <c r="F19" s="22">
        <f>F9+F17</f>
        <v>181.20400000000001</v>
      </c>
      <c r="G19" s="21">
        <f>G9+G17</f>
        <v>1325.28</v>
      </c>
      <c r="H19" s="3"/>
      <c r="I19" s="2"/>
      <c r="J19" s="1"/>
    </row>
  </sheetData>
  <mergeCells count="13">
    <mergeCell ref="A1:C1"/>
    <mergeCell ref="D1:G1"/>
    <mergeCell ref="D2:G2"/>
    <mergeCell ref="A19:B19"/>
    <mergeCell ref="A3:A4"/>
    <mergeCell ref="B3:B4"/>
    <mergeCell ref="C3:C4"/>
    <mergeCell ref="D3:F3"/>
    <mergeCell ref="A9:B9"/>
    <mergeCell ref="A10:G10"/>
    <mergeCell ref="A17:B17"/>
    <mergeCell ref="A18:G18"/>
    <mergeCell ref="G3:G4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10" zoomScaleSheetLayoutView="100" workbookViewId="0">
      <selection activeCell="B12" sqref="B12"/>
    </sheetView>
  </sheetViews>
  <sheetFormatPr defaultRowHeight="15" x14ac:dyDescent="0.2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9.28515625" customWidth="1"/>
  </cols>
  <sheetData>
    <row r="1" spans="1:10" ht="15.75" x14ac:dyDescent="0.25">
      <c r="A1" s="160"/>
      <c r="B1" s="160"/>
      <c r="C1" s="160"/>
      <c r="D1" s="161"/>
      <c r="E1" s="161"/>
      <c r="F1" s="161"/>
      <c r="G1" s="161"/>
    </row>
    <row r="2" spans="1:10" ht="15.75" x14ac:dyDescent="0.25">
      <c r="A2" s="70" t="s">
        <v>55</v>
      </c>
      <c r="B2" s="70"/>
      <c r="C2" s="71"/>
      <c r="D2" s="162" t="s">
        <v>51</v>
      </c>
      <c r="E2" s="162"/>
      <c r="F2" s="162"/>
      <c r="G2" s="162"/>
    </row>
    <row r="3" spans="1:10" ht="18" customHeight="1" x14ac:dyDescent="0.25">
      <c r="A3" s="163" t="s">
        <v>0</v>
      </c>
      <c r="B3" s="163" t="s">
        <v>1</v>
      </c>
      <c r="C3" s="165" t="s">
        <v>2</v>
      </c>
      <c r="D3" s="167" t="s">
        <v>6</v>
      </c>
      <c r="E3" s="168"/>
      <c r="F3" s="169"/>
      <c r="G3" s="165" t="s">
        <v>61</v>
      </c>
      <c r="H3" s="2"/>
      <c r="I3" s="2"/>
      <c r="J3" s="1"/>
    </row>
    <row r="4" spans="1:10" x14ac:dyDescent="0.25">
      <c r="A4" s="164"/>
      <c r="B4" s="164"/>
      <c r="C4" s="166"/>
      <c r="D4" s="14" t="s">
        <v>3</v>
      </c>
      <c r="E4" s="14" t="s">
        <v>4</v>
      </c>
      <c r="F4" s="14" t="s">
        <v>5</v>
      </c>
      <c r="G4" s="166"/>
      <c r="H4" s="2"/>
      <c r="I4" s="2"/>
      <c r="J4" s="1"/>
    </row>
    <row r="5" spans="1:10" x14ac:dyDescent="0.25">
      <c r="A5" s="15"/>
      <c r="B5" s="16"/>
      <c r="C5" s="16"/>
      <c r="D5" s="16"/>
      <c r="E5" s="16"/>
      <c r="F5" s="17" t="s">
        <v>8</v>
      </c>
      <c r="G5" s="16"/>
      <c r="H5" s="2"/>
      <c r="I5" s="2"/>
      <c r="J5" s="1"/>
    </row>
    <row r="6" spans="1:10" ht="25.5" x14ac:dyDescent="0.25">
      <c r="A6" s="18" t="s">
        <v>46</v>
      </c>
      <c r="B6" s="23" t="s">
        <v>45</v>
      </c>
      <c r="C6" s="18">
        <v>200</v>
      </c>
      <c r="D6" s="20">
        <f>C6*3/100</f>
        <v>6</v>
      </c>
      <c r="E6" s="20">
        <f>C6*4.7/100</f>
        <v>9.4</v>
      </c>
      <c r="F6" s="20">
        <f>C6*15.5/100</f>
        <v>31</v>
      </c>
      <c r="G6" s="20">
        <f>232.6/200*C6</f>
        <v>232.6</v>
      </c>
      <c r="H6" s="3"/>
      <c r="I6" s="2"/>
      <c r="J6" s="1"/>
    </row>
    <row r="7" spans="1:10" x14ac:dyDescent="0.25">
      <c r="A7" s="42" t="s">
        <v>68</v>
      </c>
      <c r="B7" s="123" t="s">
        <v>13</v>
      </c>
      <c r="C7" s="68">
        <v>50</v>
      </c>
      <c r="D7" s="125">
        <f>C7*6.6/100</f>
        <v>3.3</v>
      </c>
      <c r="E7" s="125">
        <f>C7*1.1/100</f>
        <v>0.55000000000000004</v>
      </c>
      <c r="F7" s="125">
        <f>C7*43.9/100</f>
        <v>21.95</v>
      </c>
      <c r="G7" s="125">
        <f t="shared" ref="G7" si="0">F7*4+E7*9+D7*4</f>
        <v>105.95</v>
      </c>
      <c r="H7" s="3"/>
      <c r="I7" s="2"/>
      <c r="J7" s="1"/>
    </row>
    <row r="8" spans="1:10" x14ac:dyDescent="0.25">
      <c r="A8" s="94" t="s">
        <v>35</v>
      </c>
      <c r="B8" s="97" t="s">
        <v>24</v>
      </c>
      <c r="C8" s="94">
        <v>200</v>
      </c>
      <c r="D8" s="95">
        <f>0.2/200*C8</f>
        <v>0.2</v>
      </c>
      <c r="E8" s="96">
        <f>0/200*C8</f>
        <v>0</v>
      </c>
      <c r="F8" s="95">
        <f>14/200*C8</f>
        <v>14.000000000000002</v>
      </c>
      <c r="G8" s="95">
        <f>F8*4+E8*9+D8*4</f>
        <v>56.800000000000004</v>
      </c>
      <c r="H8" s="3"/>
      <c r="I8" s="2"/>
      <c r="J8" s="1"/>
    </row>
    <row r="9" spans="1:10" x14ac:dyDescent="0.25">
      <c r="A9" s="172" t="s">
        <v>18</v>
      </c>
      <c r="B9" s="173"/>
      <c r="C9" s="21">
        <f>SUM(C6:C8)</f>
        <v>450</v>
      </c>
      <c r="D9" s="21">
        <f>SUM(D6:D8)</f>
        <v>9.5</v>
      </c>
      <c r="E9" s="22">
        <f>SUM(E6:E8)</f>
        <v>9.9500000000000011</v>
      </c>
      <c r="F9" s="22">
        <f>SUM(F6:F8)</f>
        <v>66.95</v>
      </c>
      <c r="G9" s="22">
        <f>SUM(G6:G8)</f>
        <v>395.35</v>
      </c>
      <c r="H9" s="3"/>
      <c r="I9" s="2" t="s">
        <v>7</v>
      </c>
      <c r="J9" s="1"/>
    </row>
    <row r="10" spans="1:10" x14ac:dyDescent="0.25">
      <c r="A10" s="172" t="s">
        <v>9</v>
      </c>
      <c r="B10" s="174"/>
      <c r="C10" s="174"/>
      <c r="D10" s="174"/>
      <c r="E10" s="174"/>
      <c r="F10" s="174"/>
      <c r="G10" s="174"/>
      <c r="H10" s="3"/>
      <c r="I10" s="2"/>
      <c r="J10" s="1"/>
    </row>
    <row r="11" spans="1:10" x14ac:dyDescent="0.25">
      <c r="A11" s="18"/>
      <c r="H11" s="3"/>
      <c r="I11" s="2"/>
      <c r="J11" s="1"/>
    </row>
    <row r="12" spans="1:10" x14ac:dyDescent="0.25">
      <c r="A12" s="124" t="s">
        <v>95</v>
      </c>
      <c r="B12" s="195" t="s">
        <v>96</v>
      </c>
      <c r="C12" s="124">
        <v>250</v>
      </c>
      <c r="D12" s="125">
        <v>6.2</v>
      </c>
      <c r="E12" s="125">
        <v>5.6</v>
      </c>
      <c r="F12" s="125">
        <v>22.3</v>
      </c>
      <c r="G12" s="125">
        <v>164.4</v>
      </c>
      <c r="H12" s="3"/>
      <c r="I12" s="2"/>
      <c r="J12" s="10"/>
    </row>
    <row r="13" spans="1:10" x14ac:dyDescent="0.25">
      <c r="A13" s="99" t="s">
        <v>66</v>
      </c>
      <c r="B13" s="98" t="s">
        <v>71</v>
      </c>
      <c r="C13" s="99">
        <v>200</v>
      </c>
      <c r="D13" s="99">
        <f>25.25/250*C13</f>
        <v>20.200000000000003</v>
      </c>
      <c r="E13" s="99">
        <f>29.56/250*C13</f>
        <v>23.648</v>
      </c>
      <c r="F13" s="99">
        <f>86.76/250*C13</f>
        <v>69.408000000000001</v>
      </c>
      <c r="G13" s="99">
        <f>810.72/250*C13</f>
        <v>648.57600000000002</v>
      </c>
      <c r="H13" s="3"/>
      <c r="I13" s="2"/>
      <c r="J13" s="1"/>
    </row>
    <row r="14" spans="1:10" x14ac:dyDescent="0.25">
      <c r="A14" s="18"/>
      <c r="B14" s="19" t="s">
        <v>13</v>
      </c>
      <c r="C14" s="18">
        <v>50</v>
      </c>
      <c r="D14" s="18">
        <f>C14*6.6/100</f>
        <v>3.3</v>
      </c>
      <c r="E14" s="18">
        <f>C14*1.1/100</f>
        <v>0.55000000000000004</v>
      </c>
      <c r="F14" s="18">
        <f>C14*43.9/100</f>
        <v>21.95</v>
      </c>
      <c r="G14" s="18">
        <f>F14*4+E14*9+D14*4</f>
        <v>105.95</v>
      </c>
      <c r="H14" s="3"/>
      <c r="I14" s="2"/>
      <c r="J14" s="1"/>
    </row>
    <row r="15" spans="1:10" x14ac:dyDescent="0.25">
      <c r="A15" s="18" t="s">
        <v>26</v>
      </c>
      <c r="B15" s="19" t="s">
        <v>14</v>
      </c>
      <c r="C15" s="124">
        <v>200</v>
      </c>
      <c r="D15" s="125">
        <f>0.6/200*C15</f>
        <v>0.6</v>
      </c>
      <c r="E15" s="126">
        <f>0/200*C15</f>
        <v>0</v>
      </c>
      <c r="F15" s="125">
        <f>31.4/200*C15</f>
        <v>31.4</v>
      </c>
      <c r="G15" s="126">
        <f>128/200*C15</f>
        <v>128</v>
      </c>
      <c r="H15" s="3"/>
      <c r="I15" s="2"/>
      <c r="J15" s="1"/>
    </row>
    <row r="16" spans="1:10" x14ac:dyDescent="0.25">
      <c r="A16" s="172" t="s">
        <v>19</v>
      </c>
      <c r="B16" s="173"/>
      <c r="C16" s="77">
        <f>SUM(C12:C15)</f>
        <v>700</v>
      </c>
      <c r="D16" s="22">
        <f>SUM(D12:D15)</f>
        <v>30.300000000000004</v>
      </c>
      <c r="E16" s="22">
        <f>SUM(E12:E15)</f>
        <v>29.797999999999998</v>
      </c>
      <c r="F16" s="22">
        <f>SUM(F12:F15)</f>
        <v>145.05799999999999</v>
      </c>
      <c r="G16" s="22">
        <f>SUM(G12:G15)</f>
        <v>1046.9259999999999</v>
      </c>
      <c r="H16" s="3"/>
      <c r="I16" s="2"/>
      <c r="J16" s="1"/>
    </row>
    <row r="17" spans="1:10" x14ac:dyDescent="0.25">
      <c r="A17" s="170"/>
      <c r="B17" s="171"/>
      <c r="C17" s="171"/>
      <c r="D17" s="171"/>
      <c r="E17" s="171"/>
      <c r="F17" s="171"/>
      <c r="G17" s="171"/>
      <c r="H17" s="3"/>
      <c r="I17" s="2"/>
      <c r="J17" s="1"/>
    </row>
    <row r="18" spans="1:10" x14ac:dyDescent="0.25">
      <c r="A18" s="172" t="s">
        <v>17</v>
      </c>
      <c r="B18" s="173"/>
      <c r="C18" s="18"/>
      <c r="D18" s="22">
        <f>D9+D16</f>
        <v>39.800000000000004</v>
      </c>
      <c r="E18" s="22">
        <f>E9+E16</f>
        <v>39.747999999999998</v>
      </c>
      <c r="F18" s="22">
        <f>F9+F16</f>
        <v>212.00799999999998</v>
      </c>
      <c r="G18" s="21">
        <f>G9+G16</f>
        <v>1442.2759999999998</v>
      </c>
      <c r="H18" s="3"/>
      <c r="I18" s="2"/>
      <c r="J18" s="1"/>
    </row>
  </sheetData>
  <mergeCells count="13">
    <mergeCell ref="A1:C1"/>
    <mergeCell ref="D1:G1"/>
    <mergeCell ref="D2:G2"/>
    <mergeCell ref="A18:B18"/>
    <mergeCell ref="A3:A4"/>
    <mergeCell ref="B3:B4"/>
    <mergeCell ref="C3:C4"/>
    <mergeCell ref="D3:F3"/>
    <mergeCell ref="A9:B9"/>
    <mergeCell ref="A10:G10"/>
    <mergeCell ref="A16:B16"/>
    <mergeCell ref="A17:G17"/>
    <mergeCell ref="G3:G4"/>
  </mergeCells>
  <pageMargins left="0.5118110236220472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Лист1</vt:lpstr>
      <vt:lpstr>'День 1'!Область_печати</vt:lpstr>
      <vt:lpstr>'День 10'!Область_печати</vt:lpstr>
      <vt:lpstr>'День 11'!Область_печати</vt:lpstr>
      <vt:lpstr>'День 12'!Область_печати</vt:lpstr>
      <vt:lpstr>'День 2'!Область_печати</vt:lpstr>
      <vt:lpstr>'День 4'!Область_печати</vt:lpstr>
      <vt:lpstr>'День 5'!Область_печати</vt:lpstr>
      <vt:lpstr>'День 6'!Область_печати</vt:lpstr>
      <vt:lpstr>'День 7'!Область_печати</vt:lpstr>
      <vt:lpstr>'День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2022-12-03T07:00:08Z</dcterms:modified>
</cp:coreProperties>
</file>