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tabRatio="696" activeTab="2"/>
  </bookViews>
  <sheets>
    <sheet name="День 1" sheetId="2" r:id="rId1"/>
    <sheet name="День 2" sheetId="4" r:id="rId2"/>
    <sheet name="День 3" sheetId="5" r:id="rId3"/>
    <sheet name="День 4" sheetId="6" r:id="rId4"/>
    <sheet name="День 5" sheetId="8" r:id="rId5"/>
    <sheet name="День 6" sheetId="9" r:id="rId6"/>
    <sheet name="День 7" sheetId="10" r:id="rId7"/>
    <sheet name="День 8" sheetId="11" r:id="rId8"/>
    <sheet name="День 9" sheetId="12" r:id="rId9"/>
    <sheet name="День 10" sheetId="13" r:id="rId10"/>
    <sheet name="День 11" sheetId="14" r:id="rId11"/>
    <sheet name="День 12" sheetId="15" r:id="rId12"/>
    <sheet name="Лист1" sheetId="16" r:id="rId13"/>
  </sheets>
  <definedNames>
    <definedName name="_xlnm.Print_Area" localSheetId="0">'День 1'!$A$1:$H$21</definedName>
    <definedName name="_xlnm.Print_Area" localSheetId="9">'День 10'!$A$1:$G$22</definedName>
    <definedName name="_xlnm.Print_Area" localSheetId="10">'День 11'!$A$1:$I$23</definedName>
    <definedName name="_xlnm.Print_Area" localSheetId="11">'День 12'!$A$1:$J$18</definedName>
    <definedName name="_xlnm.Print_Area" localSheetId="3">'День 4'!$A$1:$I$22</definedName>
    <definedName name="_xlnm.Print_Area" localSheetId="4">'День 5'!$A$1:$H$22</definedName>
    <definedName name="_xlnm.Print_Area" localSheetId="5">'День 6'!$A$1:$J$23</definedName>
    <definedName name="_xlnm.Print_Area" localSheetId="6">'День 7'!$A$1:$H$24</definedName>
    <definedName name="_xlnm.Print_Area" localSheetId="8">'День 9'!$A$1:$G$20</definedName>
  </definedNames>
  <calcPr calcId="144525"/>
</workbook>
</file>

<file path=xl/calcChain.xml><?xml version="1.0" encoding="utf-8"?>
<calcChain xmlns="http://schemas.openxmlformats.org/spreadsheetml/2006/main">
  <c r="D15" i="9" l="1"/>
  <c r="E15" i="9"/>
  <c r="F15" i="14"/>
  <c r="G15" i="14" s="1"/>
  <c r="E15" i="14"/>
  <c r="D15" i="14"/>
  <c r="F15" i="9"/>
  <c r="G15" i="9" s="1"/>
  <c r="F7" i="15"/>
  <c r="G7" i="15" s="1"/>
  <c r="E7" i="15"/>
  <c r="D7" i="15"/>
  <c r="F7" i="14"/>
  <c r="G7" i="14" s="1"/>
  <c r="E7" i="14"/>
  <c r="D7" i="14"/>
  <c r="F7" i="13"/>
  <c r="G7" i="13" s="1"/>
  <c r="E7" i="13"/>
  <c r="D7" i="13"/>
  <c r="F7" i="12"/>
  <c r="E7" i="12"/>
  <c r="D7" i="12"/>
  <c r="F7" i="10"/>
  <c r="G7" i="10" s="1"/>
  <c r="E7" i="10"/>
  <c r="D7" i="10"/>
  <c r="F7" i="9"/>
  <c r="G7" i="9" s="1"/>
  <c r="E7" i="9"/>
  <c r="D7" i="9"/>
  <c r="F8" i="8"/>
  <c r="G8" i="8" s="1"/>
  <c r="E8" i="8"/>
  <c r="D8" i="8"/>
  <c r="F7" i="6"/>
  <c r="G7" i="6" s="1"/>
  <c r="E7" i="6"/>
  <c r="D7" i="6"/>
  <c r="F7" i="5"/>
  <c r="E7" i="5"/>
  <c r="D7" i="5"/>
  <c r="F7" i="2"/>
  <c r="G7" i="2" s="1"/>
  <c r="E7" i="2"/>
  <c r="D7" i="2"/>
  <c r="D7" i="11"/>
  <c r="G7" i="12" l="1"/>
  <c r="G7" i="5"/>
  <c r="C16" i="8"/>
  <c r="D7" i="4"/>
  <c r="E7" i="4"/>
  <c r="F7" i="4"/>
  <c r="G7" i="4"/>
  <c r="D8" i="2"/>
  <c r="E8" i="2"/>
  <c r="G8" i="2" s="1"/>
  <c r="F8" i="2"/>
  <c r="F7" i="11" l="1"/>
  <c r="E7" i="11"/>
  <c r="G7" i="11" l="1"/>
  <c r="F13" i="14"/>
  <c r="E13" i="14"/>
  <c r="D13" i="14"/>
  <c r="E13" i="9"/>
  <c r="G13" i="14" l="1"/>
  <c r="G13" i="12"/>
  <c r="F13" i="12"/>
  <c r="E13" i="12"/>
  <c r="D13" i="12"/>
  <c r="G13" i="8"/>
  <c r="F13" i="8"/>
  <c r="E13" i="8"/>
  <c r="D13" i="8"/>
  <c r="D7" i="8"/>
  <c r="E7" i="8"/>
  <c r="F7" i="8"/>
  <c r="G7" i="8"/>
  <c r="G6" i="14"/>
  <c r="F6" i="14"/>
  <c r="E6" i="14"/>
  <c r="D6" i="14"/>
  <c r="F9" i="8" l="1"/>
  <c r="E9" i="8"/>
  <c r="D9" i="8"/>
  <c r="G8" i="14"/>
  <c r="F8" i="14"/>
  <c r="E8" i="14"/>
  <c r="D8" i="14"/>
  <c r="G16" i="13"/>
  <c r="F16" i="13"/>
  <c r="E16" i="13"/>
  <c r="D16" i="13"/>
  <c r="G8" i="10"/>
  <c r="F8" i="10"/>
  <c r="E8" i="10"/>
  <c r="D8" i="10"/>
  <c r="E8" i="6"/>
  <c r="D8" i="6"/>
  <c r="D11" i="5"/>
  <c r="E11" i="4"/>
  <c r="D11" i="4"/>
  <c r="E12" i="4"/>
  <c r="G9" i="8" l="1"/>
  <c r="G11" i="13"/>
  <c r="F11" i="13"/>
  <c r="E11" i="13"/>
  <c r="D11" i="13"/>
  <c r="F11" i="14"/>
  <c r="E11" i="14"/>
  <c r="D11" i="14"/>
  <c r="G11" i="15"/>
  <c r="F11" i="15"/>
  <c r="E11" i="15"/>
  <c r="D11" i="15"/>
  <c r="G11" i="11"/>
  <c r="F11" i="11"/>
  <c r="E11" i="11"/>
  <c r="D11" i="11"/>
  <c r="G11" i="9"/>
  <c r="F11" i="9"/>
  <c r="E11" i="9"/>
  <c r="D11" i="9"/>
  <c r="G11" i="14" l="1"/>
  <c r="G11" i="5"/>
  <c r="F11" i="5"/>
  <c r="E11" i="5"/>
  <c r="G6" i="15" l="1"/>
  <c r="F6" i="15"/>
  <c r="E6" i="15"/>
  <c r="D6" i="15"/>
  <c r="F6" i="4"/>
  <c r="F6" i="2"/>
  <c r="E6" i="2"/>
  <c r="D6" i="2"/>
  <c r="G6" i="2"/>
  <c r="G6" i="6" l="1"/>
  <c r="F6" i="6"/>
  <c r="E6" i="6"/>
  <c r="D6" i="6"/>
  <c r="G14" i="13"/>
  <c r="F14" i="13"/>
  <c r="E14" i="13"/>
  <c r="D14" i="13"/>
  <c r="G12" i="8" l="1"/>
  <c r="G14" i="2" l="1"/>
  <c r="F14" i="2"/>
  <c r="C17" i="11" l="1"/>
  <c r="G8" i="6"/>
  <c r="F8" i="6"/>
  <c r="C15" i="5"/>
  <c r="G14" i="5" l="1"/>
  <c r="F14" i="5"/>
  <c r="E14" i="5"/>
  <c r="D14" i="5"/>
  <c r="C9" i="5" l="1"/>
  <c r="D13" i="10"/>
  <c r="G13" i="10"/>
  <c r="F13" i="10"/>
  <c r="E13" i="10"/>
  <c r="G12" i="4" l="1"/>
  <c r="G10" i="4"/>
  <c r="D14" i="2"/>
  <c r="G6" i="9" l="1"/>
  <c r="F6" i="9"/>
  <c r="E6" i="9"/>
  <c r="D6" i="9"/>
  <c r="F12" i="4"/>
  <c r="C17" i="2" l="1"/>
  <c r="G6" i="5" l="1"/>
  <c r="F6" i="5"/>
  <c r="E6" i="5"/>
  <c r="D6" i="5"/>
  <c r="F8" i="12" l="1"/>
  <c r="E8" i="12"/>
  <c r="D8" i="12"/>
  <c r="G14" i="15"/>
  <c r="F14" i="15"/>
  <c r="E14" i="15"/>
  <c r="D14" i="15"/>
  <c r="G16" i="14"/>
  <c r="F16" i="14"/>
  <c r="E16" i="14"/>
  <c r="D16" i="14"/>
  <c r="G13" i="13"/>
  <c r="F13" i="13"/>
  <c r="E13" i="13"/>
  <c r="D13" i="13"/>
  <c r="G12" i="13"/>
  <c r="F12" i="13"/>
  <c r="E12" i="13"/>
  <c r="D12" i="13"/>
  <c r="F8" i="13"/>
  <c r="E8" i="13"/>
  <c r="D8" i="13"/>
  <c r="G6" i="13"/>
  <c r="F6" i="13"/>
  <c r="E6" i="13"/>
  <c r="D6" i="13"/>
  <c r="G15" i="12"/>
  <c r="F15" i="12"/>
  <c r="E15" i="12"/>
  <c r="D15" i="12"/>
  <c r="G6" i="12"/>
  <c r="F16" i="11"/>
  <c r="E16" i="11"/>
  <c r="D16" i="11"/>
  <c r="G8" i="11"/>
  <c r="F8" i="11"/>
  <c r="E8" i="11"/>
  <c r="D8" i="11"/>
  <c r="G8" i="9"/>
  <c r="F8" i="9"/>
  <c r="E8" i="9"/>
  <c r="D8" i="9"/>
  <c r="G17" i="10"/>
  <c r="F17" i="10"/>
  <c r="E17" i="10"/>
  <c r="D17" i="10"/>
  <c r="G11" i="10"/>
  <c r="F11" i="10"/>
  <c r="E11" i="10"/>
  <c r="D11" i="10"/>
  <c r="G16" i="9"/>
  <c r="F16" i="9"/>
  <c r="E16" i="9"/>
  <c r="D16" i="9"/>
  <c r="F15" i="8"/>
  <c r="E15" i="8"/>
  <c r="D15" i="8"/>
  <c r="F12" i="8"/>
  <c r="E12" i="8"/>
  <c r="D12" i="8"/>
  <c r="G15" i="6"/>
  <c r="F15" i="6"/>
  <c r="E15" i="6"/>
  <c r="D15" i="6"/>
  <c r="F8" i="5"/>
  <c r="E8" i="5"/>
  <c r="D8" i="5"/>
  <c r="F16" i="4"/>
  <c r="E16" i="4"/>
  <c r="D16" i="4"/>
  <c r="D12" i="4"/>
  <c r="F10" i="4"/>
  <c r="E10" i="4"/>
  <c r="D10" i="4"/>
  <c r="G6" i="4"/>
  <c r="E6" i="4"/>
  <c r="D6" i="4"/>
  <c r="G15" i="8" l="1"/>
  <c r="G8" i="13"/>
  <c r="G8" i="12"/>
  <c r="G16" i="11"/>
  <c r="G16" i="2"/>
  <c r="F16" i="2"/>
  <c r="E16" i="2"/>
  <c r="D16" i="2"/>
  <c r="F15" i="2"/>
  <c r="G12" i="2"/>
  <c r="F12" i="2"/>
  <c r="E12" i="2"/>
  <c r="D12" i="2"/>
  <c r="G11" i="2"/>
  <c r="F11" i="2"/>
  <c r="E11" i="2"/>
  <c r="D11" i="2"/>
  <c r="C16" i="6" l="1"/>
  <c r="D12" i="6"/>
  <c r="E12" i="6"/>
  <c r="F12" i="6"/>
  <c r="F11" i="4"/>
  <c r="F14" i="8"/>
  <c r="E14" i="8"/>
  <c r="D14" i="8"/>
  <c r="G13" i="2"/>
  <c r="F13" i="2"/>
  <c r="E13" i="2"/>
  <c r="D13" i="2"/>
  <c r="F6" i="10"/>
  <c r="E6" i="10"/>
  <c r="D6" i="10"/>
  <c r="G11" i="4" l="1"/>
  <c r="G6" i="10"/>
  <c r="G14" i="8"/>
  <c r="G12" i="6"/>
  <c r="F9" i="15"/>
  <c r="C15" i="15" l="1"/>
  <c r="F12" i="9"/>
  <c r="E12" i="9"/>
  <c r="D12" i="9"/>
  <c r="F13" i="9"/>
  <c r="D13" i="9"/>
  <c r="F12" i="10"/>
  <c r="E12" i="10"/>
  <c r="D12" i="10"/>
  <c r="C10" i="8"/>
  <c r="G12" i="9" l="1"/>
  <c r="G13" i="9"/>
  <c r="G12" i="10"/>
  <c r="C9" i="9" l="1"/>
  <c r="C9" i="14"/>
  <c r="F9" i="5" l="1"/>
  <c r="E9" i="5"/>
  <c r="D9" i="5"/>
  <c r="C17" i="14" l="1"/>
  <c r="C17" i="13"/>
  <c r="C9" i="13"/>
  <c r="C16" i="12"/>
  <c r="C9" i="12"/>
  <c r="C9" i="11" l="1"/>
  <c r="C18" i="10"/>
  <c r="C9" i="10"/>
  <c r="C17" i="9"/>
  <c r="F15" i="4"/>
  <c r="E15" i="4"/>
  <c r="D15" i="4"/>
  <c r="D13" i="15"/>
  <c r="E13" i="15"/>
  <c r="F13" i="15"/>
  <c r="F10" i="8"/>
  <c r="E10" i="8"/>
  <c r="D10" i="8"/>
  <c r="C9" i="6"/>
  <c r="C17" i="4"/>
  <c r="C8" i="4"/>
  <c r="C9" i="2"/>
  <c r="C9" i="15"/>
  <c r="G15" i="4" l="1"/>
  <c r="F15" i="15"/>
  <c r="D15" i="15"/>
  <c r="G13" i="15"/>
  <c r="E15" i="15"/>
  <c r="G10" i="8"/>
  <c r="E11" i="6"/>
  <c r="G15" i="15" l="1"/>
  <c r="F11" i="6"/>
  <c r="D11" i="6"/>
  <c r="F16" i="8"/>
  <c r="E16" i="8"/>
  <c r="D16" i="8"/>
  <c r="D18" i="8" s="1"/>
  <c r="F9" i="9"/>
  <c r="E9" i="9"/>
  <c r="D9" i="9"/>
  <c r="F14" i="6"/>
  <c r="E14" i="6"/>
  <c r="E16" i="6" s="1"/>
  <c r="D14" i="6"/>
  <c r="F9" i="6"/>
  <c r="E9" i="6"/>
  <c r="D9" i="6"/>
  <c r="F13" i="5"/>
  <c r="E13" i="5"/>
  <c r="D13" i="5"/>
  <c r="D15" i="5" s="1"/>
  <c r="G8" i="5"/>
  <c r="G9" i="5" s="1"/>
  <c r="F12" i="14"/>
  <c r="E12" i="14"/>
  <c r="D12" i="14"/>
  <c r="F9" i="14"/>
  <c r="E9" i="14"/>
  <c r="D9" i="14"/>
  <c r="D6" i="12"/>
  <c r="F6" i="12"/>
  <c r="F9" i="12" s="1"/>
  <c r="E6" i="12"/>
  <c r="E9" i="12" s="1"/>
  <c r="D9" i="15"/>
  <c r="F15" i="13"/>
  <c r="E15" i="13"/>
  <c r="D15" i="13"/>
  <c r="D9" i="13"/>
  <c r="F9" i="13"/>
  <c r="F14" i="12"/>
  <c r="E14" i="12"/>
  <c r="D14" i="12"/>
  <c r="F15" i="11"/>
  <c r="E15" i="11"/>
  <c r="D15" i="11"/>
  <c r="F9" i="11"/>
  <c r="E9" i="11"/>
  <c r="D9" i="11"/>
  <c r="F16" i="10"/>
  <c r="E16" i="10"/>
  <c r="D16" i="10"/>
  <c r="F14" i="10"/>
  <c r="E14" i="10"/>
  <c r="D14" i="10"/>
  <c r="D9" i="10"/>
  <c r="F9" i="10"/>
  <c r="E14" i="2"/>
  <c r="G16" i="4"/>
  <c r="E15" i="2"/>
  <c r="D15" i="2"/>
  <c r="F9" i="2"/>
  <c r="D9" i="2"/>
  <c r="D17" i="11" l="1"/>
  <c r="D19" i="11" s="1"/>
  <c r="E18" i="6"/>
  <c r="E15" i="5"/>
  <c r="E17" i="13"/>
  <c r="F15" i="5"/>
  <c r="G15" i="2"/>
  <c r="D16" i="6"/>
  <c r="D18" i="6" s="1"/>
  <c r="D17" i="14"/>
  <c r="D19" i="14" s="1"/>
  <c r="D17" i="2"/>
  <c r="D19" i="2" s="1"/>
  <c r="F17" i="14"/>
  <c r="F19" i="14" s="1"/>
  <c r="F16" i="6"/>
  <c r="F18" i="6" s="1"/>
  <c r="E17" i="11"/>
  <c r="E19" i="11" s="1"/>
  <c r="E17" i="14"/>
  <c r="E19" i="14" s="1"/>
  <c r="E16" i="12"/>
  <c r="E18" i="12" s="1"/>
  <c r="F16" i="12"/>
  <c r="F18" i="12" s="1"/>
  <c r="D16" i="12"/>
  <c r="G11" i="6"/>
  <c r="E18" i="10"/>
  <c r="E18" i="8"/>
  <c r="G17" i="4"/>
  <c r="F17" i="15"/>
  <c r="G9" i="10"/>
  <c r="G15" i="11"/>
  <c r="D17" i="15"/>
  <c r="G16" i="8"/>
  <c r="G18" i="8" s="1"/>
  <c r="G14" i="6"/>
  <c r="E9" i="15"/>
  <c r="G9" i="14"/>
  <c r="F17" i="11"/>
  <c r="F19" i="11" s="1"/>
  <c r="E9" i="10"/>
  <c r="G16" i="10"/>
  <c r="D8" i="4"/>
  <c r="D17" i="9"/>
  <c r="D19" i="9" s="1"/>
  <c r="F17" i="9"/>
  <c r="F19" i="9" s="1"/>
  <c r="G12" i="14"/>
  <c r="G14" i="10"/>
  <c r="E17" i="9"/>
  <c r="E19" i="9" s="1"/>
  <c r="F18" i="8"/>
  <c r="D9" i="12"/>
  <c r="G13" i="5"/>
  <c r="G9" i="6"/>
  <c r="F8" i="4"/>
  <c r="E9" i="2"/>
  <c r="E17" i="2"/>
  <c r="D17" i="4"/>
  <c r="E17" i="4"/>
  <c r="E8" i="4"/>
  <c r="F17" i="2"/>
  <c r="F19" i="2" s="1"/>
  <c r="G15" i="13"/>
  <c r="E9" i="13"/>
  <c r="E19" i="13" s="1"/>
  <c r="D17" i="13"/>
  <c r="D19" i="13" s="1"/>
  <c r="G9" i="13"/>
  <c r="G14" i="12"/>
  <c r="G9" i="15"/>
  <c r="F17" i="13"/>
  <c r="F19" i="13" s="1"/>
  <c r="G9" i="12"/>
  <c r="D18" i="10"/>
  <c r="D20" i="10" s="1"/>
  <c r="G9" i="11"/>
  <c r="F18" i="10"/>
  <c r="F20" i="10" s="1"/>
  <c r="F17" i="4"/>
  <c r="E19" i="4" l="1"/>
  <c r="G15" i="5"/>
  <c r="D17" i="5"/>
  <c r="G16" i="6"/>
  <c r="G18" i="6" s="1"/>
  <c r="D19" i="4"/>
  <c r="G17" i="2"/>
  <c r="G16" i="12"/>
  <c r="G18" i="12" s="1"/>
  <c r="E20" i="10"/>
  <c r="E17" i="5"/>
  <c r="E19" i="2"/>
  <c r="G17" i="14"/>
  <c r="G19" i="14" s="1"/>
  <c r="F17" i="5"/>
  <c r="G17" i="11"/>
  <c r="G19" i="11" s="1"/>
  <c r="G18" i="10"/>
  <c r="G20" i="10" s="1"/>
  <c r="G17" i="9"/>
  <c r="E17" i="15"/>
  <c r="D18" i="12"/>
  <c r="F19" i="4"/>
  <c r="G17" i="13"/>
  <c r="G19" i="13" s="1"/>
  <c r="G9" i="9"/>
  <c r="G8" i="4"/>
  <c r="G19" i="4" s="1"/>
  <c r="G17" i="15"/>
  <c r="G9" i="2"/>
  <c r="G19" i="2" l="1"/>
  <c r="C3" i="16"/>
  <c r="A3" i="16"/>
  <c r="B3" i="16"/>
  <c r="G19" i="9"/>
  <c r="G17" i="5"/>
  <c r="A4" i="16" l="1"/>
  <c r="D3" i="16"/>
  <c r="B4" i="16"/>
</calcChain>
</file>

<file path=xl/sharedStrings.xml><?xml version="1.0" encoding="utf-8"?>
<sst xmlns="http://schemas.openxmlformats.org/spreadsheetml/2006/main" count="370" uniqueCount="101">
  <si>
    <t>№ рец.</t>
  </si>
  <si>
    <t>Наименование блюда</t>
  </si>
  <si>
    <t>Масса порции</t>
  </si>
  <si>
    <t>Белки</t>
  </si>
  <si>
    <t>Жиры</t>
  </si>
  <si>
    <t>Углеводы</t>
  </si>
  <si>
    <t>Пищевые вещества (г)</t>
  </si>
  <si>
    <t xml:space="preserve"> </t>
  </si>
  <si>
    <t>ЗАВТРАК</t>
  </si>
  <si>
    <t>ОБЕД</t>
  </si>
  <si>
    <t>39/2008г</t>
  </si>
  <si>
    <t>Картофельное пюре</t>
  </si>
  <si>
    <t>92/2008г</t>
  </si>
  <si>
    <t>Хлеб ржано-пшеничный</t>
  </si>
  <si>
    <t>Компот из сухофруктов</t>
  </si>
  <si>
    <t>Кофейный напиток с молоком</t>
  </si>
  <si>
    <t>148/2008г</t>
  </si>
  <si>
    <t>ИТОГО ЗА ДЕНЬ:</t>
  </si>
  <si>
    <t>ИТОГО ЗА ЗАВТРАК:</t>
  </si>
  <si>
    <t>ИТОГО ЗА ОБЕД:</t>
  </si>
  <si>
    <t>Соус томатный</t>
  </si>
  <si>
    <t>Чай с лимоном</t>
  </si>
  <si>
    <t>146/2008г</t>
  </si>
  <si>
    <t>Какао с молоком</t>
  </si>
  <si>
    <t xml:space="preserve"> Чай с сахаром</t>
  </si>
  <si>
    <t>149/2008г</t>
  </si>
  <si>
    <t>153/2008г</t>
  </si>
  <si>
    <t>Каша пшеничная молочная жидкая</t>
  </si>
  <si>
    <t>128/2008г</t>
  </si>
  <si>
    <t>60/2013г</t>
  </si>
  <si>
    <t>Щи из свежей капусты с картофелем</t>
  </si>
  <si>
    <t>41/2008г</t>
  </si>
  <si>
    <t>Макаронные изделия отварные</t>
  </si>
  <si>
    <t>97/2008г</t>
  </si>
  <si>
    <t>141/2008г</t>
  </si>
  <si>
    <t>261/2013г</t>
  </si>
  <si>
    <t>Каша пшённая молочная жидкая</t>
  </si>
  <si>
    <t>Суп картофельный с крупой</t>
  </si>
  <si>
    <t>62/2013г</t>
  </si>
  <si>
    <t>Каша овсянная "Геркулес" жидкая</t>
  </si>
  <si>
    <t>129/2008г</t>
  </si>
  <si>
    <t>Уха со взбитым яйцом</t>
  </si>
  <si>
    <t>60/2008г</t>
  </si>
  <si>
    <t>Шницель из говядины</t>
  </si>
  <si>
    <t>181/2013г</t>
  </si>
  <si>
    <t>Каша гречневая на  молоке (вязкая)</t>
  </si>
  <si>
    <t>121/2008г</t>
  </si>
  <si>
    <t>Напиток из подов шиповника</t>
  </si>
  <si>
    <t>267/2013г</t>
  </si>
  <si>
    <t>127/2008г</t>
  </si>
  <si>
    <t>День: вторник.</t>
  </si>
  <si>
    <t>День: понедельник.</t>
  </si>
  <si>
    <t>День: среда.</t>
  </si>
  <si>
    <t>День: четверг.</t>
  </si>
  <si>
    <t>День: пятница.</t>
  </si>
  <si>
    <t>День: суббота.</t>
  </si>
  <si>
    <t xml:space="preserve">104/2017 </t>
  </si>
  <si>
    <t>Суп с мясными фрикадельками</t>
  </si>
  <si>
    <t>Жаркое по домашнему из говядины</t>
  </si>
  <si>
    <t>130/2008г</t>
  </si>
  <si>
    <t>Каша рисовая молочная жидкая</t>
  </si>
  <si>
    <t>Энергет. Ценность</t>
  </si>
  <si>
    <t>Энергет Ценность</t>
  </si>
  <si>
    <t>Сок  фруктовый</t>
  </si>
  <si>
    <t>342/2017</t>
  </si>
  <si>
    <t>Компот из свежих яблок</t>
  </si>
  <si>
    <t>ттк</t>
  </si>
  <si>
    <t>Гуляш из мяса кур</t>
  </si>
  <si>
    <t>пп</t>
  </si>
  <si>
    <t>ПП</t>
  </si>
  <si>
    <t>Плов из говядины</t>
  </si>
  <si>
    <t>Каша пшенная без молока</t>
  </si>
  <si>
    <t>Котлета,рубленная из мяса кур</t>
  </si>
  <si>
    <t>Биточки из говядины</t>
  </si>
  <si>
    <t>54-6м-2020 (11 лет и старше)</t>
  </si>
  <si>
    <t xml:space="preserve">Рассольник ленинградский </t>
  </si>
  <si>
    <t>Борщ  с картофелем</t>
  </si>
  <si>
    <t>304-2017</t>
  </si>
  <si>
    <t>Рис отварной</t>
  </si>
  <si>
    <t>Каша манная молочная жидкая с маслом</t>
  </si>
  <si>
    <t>46/2008г</t>
  </si>
  <si>
    <t>Суп картофельный с макаронными изделиями</t>
  </si>
  <si>
    <t>Напиток из плодов шиповника</t>
  </si>
  <si>
    <t>268/2017</t>
  </si>
  <si>
    <t>Котлета мясная рубленая</t>
  </si>
  <si>
    <t>Возрастная категория: 7-10 лет</t>
  </si>
  <si>
    <t>47/2008г</t>
  </si>
  <si>
    <t>Суп картофельный с бобовыми</t>
  </si>
  <si>
    <t>103/2013г</t>
  </si>
  <si>
    <t>Каша гречневая рассыпчатая</t>
  </si>
  <si>
    <t>280/2017г</t>
  </si>
  <si>
    <t>Фрикадельки в соусе</t>
  </si>
  <si>
    <t>Гуляш из говядины</t>
  </si>
  <si>
    <t>ТТК</t>
  </si>
  <si>
    <t xml:space="preserve">Манник с творогом </t>
  </si>
  <si>
    <t>54-19к-2020</t>
  </si>
  <si>
    <t>Суп молочный с макаронными изделиями</t>
  </si>
  <si>
    <t>Фрукт свежий (яблоко)</t>
  </si>
  <si>
    <t>Фрукт свежий (апельсин)</t>
  </si>
  <si>
    <t>Фруктовый напиток</t>
  </si>
  <si>
    <t>Фрукт свежий (яблок0)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</si>
</sst>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rgb="FF000000"/>
      <name val="Arial Cyr"/>
    </font>
    <font>
      <sz val="10"/>
      <color rgb="FF008000"/>
      <name val="Arial Cy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49" fontId="16" fillId="0" borderId="1">
      <alignment vertical="top" wrapText="1"/>
    </xf>
    <xf numFmtId="49" fontId="16" fillId="0" borderId="1">
      <alignment vertical="top"/>
    </xf>
    <xf numFmtId="4" fontId="17" fillId="0" borderId="1">
      <alignment vertical="top" shrinkToFit="1"/>
    </xf>
  </cellStyleXfs>
  <cellXfs count="25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9" fillId="0" borderId="0" xfId="0" applyFont="1"/>
    <xf numFmtId="0" fontId="10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7" fillId="2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/>
    <xf numFmtId="0" fontId="13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0" fontId="5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1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8" fillId="0" borderId="1" xfId="0" applyFont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0" fillId="0" borderId="6" xfId="0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left" vertical="center" wrapText="1"/>
    </xf>
    <xf numFmtId="2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left" vertical="center"/>
    </xf>
    <xf numFmtId="2" fontId="18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 applyBorder="1"/>
    <xf numFmtId="0" fontId="0" fillId="3" borderId="0" xfId="0" applyFill="1"/>
    <xf numFmtId="0" fontId="5" fillId="2" borderId="0" xfId="0" applyFont="1" applyFill="1" applyBorder="1"/>
    <xf numFmtId="0" fontId="5" fillId="2" borderId="0" xfId="0" applyFont="1" applyFill="1" applyBorder="1" applyAlignment="1"/>
    <xf numFmtId="0" fontId="0" fillId="2" borderId="0" xfId="0" applyFill="1"/>
    <xf numFmtId="0" fontId="1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5">
    <cellStyle name="st16" xfId="2"/>
    <cellStyle name="st19" xfId="4"/>
    <cellStyle name="xl26" xfId="3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Normal="110" zoomScaleSheetLayoutView="100" workbookViewId="0">
      <selection activeCell="B15" sqref="B15"/>
    </sheetView>
  </sheetViews>
  <sheetFormatPr defaultRowHeight="15" x14ac:dyDescent="0.25"/>
  <cols>
    <col min="1" max="1" width="18.7109375" customWidth="1"/>
    <col min="2" max="2" width="34.28515625" customWidth="1"/>
    <col min="3" max="3" width="7" customWidth="1"/>
    <col min="4" max="4" width="7.7109375" customWidth="1"/>
    <col min="5" max="5" width="7" customWidth="1"/>
    <col min="7" max="7" width="8.28515625" customWidth="1"/>
  </cols>
  <sheetData>
    <row r="1" spans="1:11" ht="18" customHeight="1" x14ac:dyDescent="0.25">
      <c r="A1" s="211"/>
      <c r="B1" s="211"/>
      <c r="C1" s="211"/>
      <c r="D1" s="212"/>
      <c r="E1" s="212"/>
      <c r="F1" s="212"/>
      <c r="G1" s="212"/>
      <c r="H1" s="2"/>
      <c r="I1" s="2"/>
      <c r="J1" s="2"/>
      <c r="K1" s="1"/>
    </row>
    <row r="2" spans="1:11" ht="15.75" x14ac:dyDescent="0.25">
      <c r="A2" s="68" t="s">
        <v>85</v>
      </c>
      <c r="B2" s="68"/>
      <c r="C2" s="69"/>
      <c r="D2" s="213" t="s">
        <v>51</v>
      </c>
      <c r="E2" s="213"/>
      <c r="F2" s="213"/>
      <c r="G2" s="213"/>
      <c r="H2" s="2"/>
      <c r="I2" s="9"/>
      <c r="J2" s="2"/>
      <c r="K2" s="1"/>
    </row>
    <row r="3" spans="1:11" ht="15" customHeight="1" x14ac:dyDescent="0.25">
      <c r="A3" s="214" t="s">
        <v>0</v>
      </c>
      <c r="B3" s="214" t="s">
        <v>1</v>
      </c>
      <c r="C3" s="216" t="s">
        <v>2</v>
      </c>
      <c r="D3" s="218" t="s">
        <v>6</v>
      </c>
      <c r="E3" s="219"/>
      <c r="F3" s="220"/>
      <c r="G3" s="216" t="s">
        <v>61</v>
      </c>
      <c r="H3" s="2"/>
      <c r="I3" s="2"/>
      <c r="J3" s="2"/>
      <c r="K3" s="1"/>
    </row>
    <row r="4" spans="1:11" ht="24.75" customHeight="1" x14ac:dyDescent="0.25">
      <c r="A4" s="215"/>
      <c r="B4" s="215"/>
      <c r="C4" s="217"/>
      <c r="D4" s="14" t="s">
        <v>3</v>
      </c>
      <c r="E4" s="14" t="s">
        <v>4</v>
      </c>
      <c r="F4" s="14" t="s">
        <v>5</v>
      </c>
      <c r="G4" s="217"/>
      <c r="H4" s="3"/>
      <c r="I4" s="3"/>
      <c r="J4" s="2"/>
      <c r="K4" s="1"/>
    </row>
    <row r="5" spans="1:11" x14ac:dyDescent="0.25">
      <c r="A5" s="15"/>
      <c r="B5" s="16"/>
      <c r="C5" s="16"/>
      <c r="D5" s="16"/>
      <c r="E5" s="16"/>
      <c r="F5" s="17" t="s">
        <v>8</v>
      </c>
      <c r="G5" s="16"/>
      <c r="H5" s="3"/>
      <c r="I5" s="3"/>
      <c r="J5" s="2"/>
      <c r="K5" s="1"/>
    </row>
    <row r="6" spans="1:11" x14ac:dyDescent="0.25">
      <c r="A6" s="118" t="s">
        <v>49</v>
      </c>
      <c r="B6" s="127" t="s">
        <v>36</v>
      </c>
      <c r="C6" s="118">
        <v>150</v>
      </c>
      <c r="D6" s="132">
        <f>5.25/150*C6</f>
        <v>5.2500000000000009</v>
      </c>
      <c r="E6" s="118">
        <f>6.9/150*C6</f>
        <v>6.8999999999999995</v>
      </c>
      <c r="F6" s="132">
        <f>25.05/150*C6</f>
        <v>25.05</v>
      </c>
      <c r="G6" s="118">
        <f>152.19/150*C6</f>
        <v>152.19</v>
      </c>
      <c r="H6" s="3"/>
      <c r="I6" s="3"/>
      <c r="J6" s="2"/>
      <c r="K6" s="1"/>
    </row>
    <row r="7" spans="1:11" x14ac:dyDescent="0.25">
      <c r="A7" s="41" t="s">
        <v>68</v>
      </c>
      <c r="B7" s="66" t="s">
        <v>13</v>
      </c>
      <c r="C7" s="65">
        <v>30</v>
      </c>
      <c r="D7" s="202">
        <f>C7*6.6/100</f>
        <v>1.98</v>
      </c>
      <c r="E7" s="202">
        <f>C7*1.1/100</f>
        <v>0.33</v>
      </c>
      <c r="F7" s="202">
        <f>C7*43.9/100</f>
        <v>13.17</v>
      </c>
      <c r="G7" s="202">
        <f t="shared" ref="G7" si="0">F7*4+E7*9+D7*4</f>
        <v>63.57</v>
      </c>
      <c r="H7" s="3"/>
      <c r="I7" s="3"/>
      <c r="J7" s="2"/>
      <c r="K7" s="1"/>
    </row>
    <row r="8" spans="1:11" ht="15.75" x14ac:dyDescent="0.25">
      <c r="A8" s="89" t="s">
        <v>35</v>
      </c>
      <c r="B8" s="92" t="s">
        <v>24</v>
      </c>
      <c r="C8" s="89">
        <v>200</v>
      </c>
      <c r="D8" s="90">
        <f>0.2/200*C8</f>
        <v>0.2</v>
      </c>
      <c r="E8" s="91">
        <f>0/200*C8</f>
        <v>0</v>
      </c>
      <c r="F8" s="90">
        <f>14/200*C8</f>
        <v>14.000000000000002</v>
      </c>
      <c r="G8" s="90">
        <f>F8*4+E8*9+D8*4</f>
        <v>56.800000000000004</v>
      </c>
      <c r="H8" s="3"/>
      <c r="I8" s="3"/>
      <c r="J8" s="8"/>
      <c r="K8" s="8"/>
    </row>
    <row r="9" spans="1:11" ht="15.75" x14ac:dyDescent="0.25">
      <c r="A9" s="207" t="s">
        <v>18</v>
      </c>
      <c r="B9" s="208"/>
      <c r="C9" s="21">
        <f>SUM(C6:C8)</f>
        <v>380</v>
      </c>
      <c r="D9" s="22">
        <f>SUM(D6:D8)</f>
        <v>7.4300000000000006</v>
      </c>
      <c r="E9" s="21">
        <f>SUM(E6:E8)</f>
        <v>7.2299999999999995</v>
      </c>
      <c r="F9" s="22">
        <f>SUM(F6:F8)</f>
        <v>52.22</v>
      </c>
      <c r="G9" s="21">
        <f>SUM(G6:G8)</f>
        <v>272.56</v>
      </c>
      <c r="H9" s="3"/>
      <c r="I9" s="3"/>
      <c r="J9" s="8"/>
      <c r="K9" s="8"/>
    </row>
    <row r="10" spans="1:11" x14ac:dyDescent="0.25">
      <c r="A10" s="207" t="s">
        <v>9</v>
      </c>
      <c r="B10" s="209"/>
      <c r="C10" s="209"/>
      <c r="D10" s="209"/>
      <c r="E10" s="209"/>
      <c r="F10" s="209"/>
      <c r="G10" s="209"/>
      <c r="H10" s="3"/>
      <c r="I10" s="3"/>
      <c r="J10" s="2"/>
      <c r="K10" s="1"/>
    </row>
    <row r="11" spans="1:11" x14ac:dyDescent="0.25">
      <c r="A11" s="111" t="s">
        <v>10</v>
      </c>
      <c r="B11" s="109" t="s">
        <v>76</v>
      </c>
      <c r="C11" s="111">
        <v>200</v>
      </c>
      <c r="D11" s="110">
        <f>6.52/250*C11</f>
        <v>5.2160000000000002</v>
      </c>
      <c r="E11" s="110">
        <f>10.4/250*C11</f>
        <v>8.32</v>
      </c>
      <c r="F11" s="110">
        <f>13.9/250*C11</f>
        <v>11.120000000000001</v>
      </c>
      <c r="G11" s="110">
        <f>218.88/250*C11</f>
        <v>175.10399999999998</v>
      </c>
      <c r="H11" s="3"/>
      <c r="I11" s="3"/>
      <c r="J11" s="2"/>
      <c r="K11" s="1"/>
    </row>
    <row r="12" spans="1:11" x14ac:dyDescent="0.25">
      <c r="A12" s="133" t="s">
        <v>77</v>
      </c>
      <c r="B12" s="134" t="s">
        <v>78</v>
      </c>
      <c r="C12" s="133">
        <v>150</v>
      </c>
      <c r="D12" s="135">
        <f>3.67/150*C12</f>
        <v>3.6700000000000004</v>
      </c>
      <c r="E12" s="135">
        <f>5.42/150*C12</f>
        <v>5.419999999999999</v>
      </c>
      <c r="F12" s="135">
        <f>36.67/150*C12</f>
        <v>36.67</v>
      </c>
      <c r="G12" s="135">
        <f>210.11/150*C12</f>
        <v>210.11</v>
      </c>
    </row>
    <row r="13" spans="1:11" ht="27" customHeight="1" x14ac:dyDescent="0.25">
      <c r="A13" s="58" t="s">
        <v>74</v>
      </c>
      <c r="B13" s="129" t="s">
        <v>73</v>
      </c>
      <c r="C13" s="130">
        <v>90</v>
      </c>
      <c r="D13" s="131">
        <f>13.7/75*C13</f>
        <v>16.439999999999998</v>
      </c>
      <c r="E13" s="131">
        <f>13.6/75*C13</f>
        <v>16.32</v>
      </c>
      <c r="F13" s="131">
        <f>12.2/75*C13</f>
        <v>14.639999999999999</v>
      </c>
      <c r="G13" s="131">
        <f>226.3/75*C13</f>
        <v>271.56</v>
      </c>
      <c r="H13" s="3"/>
      <c r="I13" s="3"/>
      <c r="J13" s="2"/>
      <c r="K13" s="1"/>
    </row>
    <row r="14" spans="1:11" x14ac:dyDescent="0.25">
      <c r="A14" s="25" t="s">
        <v>34</v>
      </c>
      <c r="B14" s="19" t="s">
        <v>20</v>
      </c>
      <c r="C14" s="18">
        <v>20</v>
      </c>
      <c r="D14" s="40">
        <f>C14*1.3/50</f>
        <v>0.52</v>
      </c>
      <c r="E14" s="40">
        <f>C14*4.8/50</f>
        <v>1.92</v>
      </c>
      <c r="F14" s="40">
        <f>C14*4.7/50</f>
        <v>1.88</v>
      </c>
      <c r="G14" s="40">
        <f>16.88/50*C14</f>
        <v>6.7519999999999989</v>
      </c>
      <c r="H14" s="3"/>
      <c r="I14" s="3"/>
      <c r="J14" s="2"/>
      <c r="K14" s="1"/>
    </row>
    <row r="15" spans="1:11" ht="15.75" x14ac:dyDescent="0.25">
      <c r="A15" s="18"/>
      <c r="B15" s="19" t="s">
        <v>13</v>
      </c>
      <c r="C15" s="18">
        <v>50</v>
      </c>
      <c r="D15" s="18">
        <f>C15*6.6/100</f>
        <v>3.3</v>
      </c>
      <c r="E15" s="18">
        <f>C15*1.1/100</f>
        <v>0.55000000000000004</v>
      </c>
      <c r="F15" s="18">
        <f>C15*43.9/100</f>
        <v>21.95</v>
      </c>
      <c r="G15" s="18">
        <f>F15*4+E15*9+D15*4</f>
        <v>105.95</v>
      </c>
      <c r="H15" s="3"/>
      <c r="I15" s="3"/>
      <c r="J15" s="210"/>
      <c r="K15" s="210"/>
    </row>
    <row r="16" spans="1:11" ht="15.75" x14ac:dyDescent="0.25">
      <c r="A16" s="18" t="s">
        <v>26</v>
      </c>
      <c r="B16" s="19" t="s">
        <v>14</v>
      </c>
      <c r="C16" s="18">
        <v>200</v>
      </c>
      <c r="D16" s="53">
        <f>0.6/200*C16</f>
        <v>0.6</v>
      </c>
      <c r="E16" s="54">
        <f>0/200*C16</f>
        <v>0</v>
      </c>
      <c r="F16" s="53">
        <f>31.4/200*C16</f>
        <v>31.4</v>
      </c>
      <c r="G16" s="54">
        <f>128/200*C16</f>
        <v>128</v>
      </c>
      <c r="H16" s="3"/>
      <c r="I16" s="3"/>
      <c r="J16" s="210"/>
      <c r="K16" s="210"/>
    </row>
    <row r="17" spans="1:11" x14ac:dyDescent="0.25">
      <c r="A17" s="207" t="s">
        <v>19</v>
      </c>
      <c r="B17" s="208"/>
      <c r="C17" s="74">
        <f>SUM(C11:C16)</f>
        <v>710</v>
      </c>
      <c r="D17" s="22">
        <f>SUM(D11:D16)</f>
        <v>29.746000000000002</v>
      </c>
      <c r="E17" s="22">
        <f>SUM(E11:E16)</f>
        <v>32.529999999999994</v>
      </c>
      <c r="F17" s="22">
        <f>SUM(F11:F16)</f>
        <v>117.66</v>
      </c>
      <c r="G17" s="22">
        <f>SUM(G11:G16)</f>
        <v>897.476</v>
      </c>
      <c r="H17" s="3"/>
      <c r="I17" s="3"/>
      <c r="J17" s="2"/>
      <c r="K17" s="1"/>
    </row>
    <row r="18" spans="1:11" x14ac:dyDescent="0.25">
      <c r="A18" s="205"/>
      <c r="B18" s="206"/>
      <c r="C18" s="206"/>
      <c r="D18" s="206"/>
      <c r="E18" s="206"/>
      <c r="F18" s="206"/>
      <c r="G18" s="206"/>
      <c r="H18" s="3"/>
      <c r="I18" s="3"/>
      <c r="J18" s="2"/>
      <c r="K18" s="1"/>
    </row>
    <row r="19" spans="1:11" x14ac:dyDescent="0.25">
      <c r="A19" s="207" t="s">
        <v>17</v>
      </c>
      <c r="B19" s="208"/>
      <c r="C19" s="18"/>
      <c r="D19" s="22">
        <f>D9+D17</f>
        <v>37.176000000000002</v>
      </c>
      <c r="E19" s="22">
        <f>E9+E17</f>
        <v>39.759999999999991</v>
      </c>
      <c r="F19" s="22">
        <f>F9+F17</f>
        <v>169.88</v>
      </c>
      <c r="G19" s="22">
        <f>G9+G17</f>
        <v>1170.0360000000001</v>
      </c>
      <c r="H19" s="3"/>
      <c r="I19" s="3"/>
      <c r="J19" s="2"/>
      <c r="K19" s="1"/>
    </row>
  </sheetData>
  <mergeCells count="15">
    <mergeCell ref="J16:K16"/>
    <mergeCell ref="A1:C1"/>
    <mergeCell ref="D1:G1"/>
    <mergeCell ref="D2:G2"/>
    <mergeCell ref="A3:A4"/>
    <mergeCell ref="B3:B4"/>
    <mergeCell ref="C3:C4"/>
    <mergeCell ref="D3:F3"/>
    <mergeCell ref="G3:G4"/>
    <mergeCell ref="J15:K15"/>
    <mergeCell ref="A18:G18"/>
    <mergeCell ref="A9:B9"/>
    <mergeCell ref="A17:B17"/>
    <mergeCell ref="A19:B19"/>
    <mergeCell ref="A10:G10"/>
  </mergeCells>
  <pageMargins left="0.51181102362204722" right="0.70866141732283472" top="0.74803149606299213" bottom="0.74803149606299213" header="0.31496062992125984" footer="0.31496062992125984"/>
  <pageSetup paperSize="9" scale="12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Normal="110" zoomScaleSheetLayoutView="100" workbookViewId="0">
      <selection activeCell="D7" sqref="D7:G7"/>
    </sheetView>
  </sheetViews>
  <sheetFormatPr defaultRowHeight="15" x14ac:dyDescent="0.25"/>
  <cols>
    <col min="1" max="1" width="9.85546875" customWidth="1"/>
    <col min="2" max="2" width="27.140625" customWidth="1"/>
    <col min="3" max="3" width="8" customWidth="1"/>
    <col min="4" max="4" width="7.7109375" customWidth="1"/>
    <col min="5" max="5" width="7" customWidth="1"/>
    <col min="7" max="7" width="9.28515625" customWidth="1"/>
  </cols>
  <sheetData>
    <row r="1" spans="1:10" ht="15.75" x14ac:dyDescent="0.25">
      <c r="A1" s="211"/>
      <c r="B1" s="211"/>
      <c r="C1" s="211"/>
      <c r="D1" s="212"/>
      <c r="E1" s="212"/>
      <c r="F1" s="212"/>
      <c r="G1" s="212"/>
    </row>
    <row r="2" spans="1:10" ht="15.75" x14ac:dyDescent="0.25">
      <c r="A2" s="153" t="s">
        <v>85</v>
      </c>
      <c r="B2" s="153"/>
      <c r="C2" s="69"/>
      <c r="D2" s="213" t="s">
        <v>53</v>
      </c>
      <c r="E2" s="213"/>
      <c r="F2" s="213"/>
      <c r="G2" s="213"/>
    </row>
    <row r="3" spans="1:10" ht="18" customHeight="1" x14ac:dyDescent="0.25">
      <c r="A3" s="214" t="s">
        <v>0</v>
      </c>
      <c r="B3" s="214" t="s">
        <v>1</v>
      </c>
      <c r="C3" s="216" t="s">
        <v>2</v>
      </c>
      <c r="D3" s="218" t="s">
        <v>6</v>
      </c>
      <c r="E3" s="219"/>
      <c r="F3" s="220"/>
      <c r="G3" s="216" t="s">
        <v>61</v>
      </c>
      <c r="H3" s="2"/>
      <c r="I3" s="2"/>
      <c r="J3" s="1"/>
    </row>
    <row r="4" spans="1:10" x14ac:dyDescent="0.25">
      <c r="A4" s="215"/>
      <c r="B4" s="215"/>
      <c r="C4" s="217"/>
      <c r="D4" s="14" t="s">
        <v>3</v>
      </c>
      <c r="E4" s="14" t="s">
        <v>4</v>
      </c>
      <c r="F4" s="14" t="s">
        <v>5</v>
      </c>
      <c r="G4" s="217"/>
      <c r="H4" s="2"/>
      <c r="I4" s="2"/>
      <c r="J4" s="1"/>
    </row>
    <row r="5" spans="1:10" x14ac:dyDescent="0.25">
      <c r="A5" s="60"/>
      <c r="B5" s="61"/>
      <c r="C5" s="61"/>
      <c r="D5" s="61"/>
      <c r="E5" s="61"/>
      <c r="F5" s="62" t="s">
        <v>8</v>
      </c>
      <c r="G5" s="61"/>
      <c r="H5" s="2"/>
      <c r="I5" s="2"/>
      <c r="J5" s="1"/>
    </row>
    <row r="6" spans="1:10" x14ac:dyDescent="0.25">
      <c r="A6" s="121" t="s">
        <v>59</v>
      </c>
      <c r="B6" s="112" t="s">
        <v>60</v>
      </c>
      <c r="C6" s="121">
        <v>150</v>
      </c>
      <c r="D6" s="63">
        <f>4.8/200*C6</f>
        <v>3.6</v>
      </c>
      <c r="E6" s="63">
        <f>7/200*C6</f>
        <v>5.2500000000000009</v>
      </c>
      <c r="F6" s="64">
        <f>51.6/200*C6</f>
        <v>38.700000000000003</v>
      </c>
      <c r="G6" s="121">
        <f>288.6/200*C6</f>
        <v>216.45000000000002</v>
      </c>
      <c r="H6" s="3"/>
      <c r="I6" s="2"/>
      <c r="J6" s="1"/>
    </row>
    <row r="7" spans="1:10" s="29" customFormat="1" x14ac:dyDescent="0.25">
      <c r="A7" s="192"/>
      <c r="B7" s="191" t="s">
        <v>13</v>
      </c>
      <c r="C7" s="190">
        <v>30</v>
      </c>
      <c r="D7" s="202">
        <f>C7*6.6/100</f>
        <v>1.98</v>
      </c>
      <c r="E7" s="202">
        <f>C7*1.1/100</f>
        <v>0.33</v>
      </c>
      <c r="F7" s="202">
        <f>C7*43.9/100</f>
        <v>13.17</v>
      </c>
      <c r="G7" s="202">
        <f t="shared" ref="G7" si="0">F7*4+E7*9+D7*4</f>
        <v>63.57</v>
      </c>
      <c r="H7" s="37"/>
      <c r="I7" s="38"/>
    </row>
    <row r="8" spans="1:10" x14ac:dyDescent="0.25">
      <c r="A8" s="32" t="s">
        <v>22</v>
      </c>
      <c r="B8" s="39" t="s">
        <v>21</v>
      </c>
      <c r="C8" s="121">
        <v>200</v>
      </c>
      <c r="D8" s="122">
        <f>0.3/200*C8</f>
        <v>0.3</v>
      </c>
      <c r="E8" s="123">
        <f>0/200*C8</f>
        <v>0</v>
      </c>
      <c r="F8" s="122">
        <f>15.2/200*C8</f>
        <v>15.2</v>
      </c>
      <c r="G8" s="122">
        <f t="shared" ref="G8" si="1">F8*4+E8*9+D8*4</f>
        <v>62</v>
      </c>
      <c r="H8" s="3"/>
      <c r="I8" s="2"/>
      <c r="J8" s="1"/>
    </row>
    <row r="9" spans="1:10" x14ac:dyDescent="0.25">
      <c r="A9" s="207" t="s">
        <v>18</v>
      </c>
      <c r="B9" s="208"/>
      <c r="C9" s="21">
        <f>SUM(C6:C8)</f>
        <v>380</v>
      </c>
      <c r="D9" s="21">
        <f>SUM(D6:D8)</f>
        <v>5.88</v>
      </c>
      <c r="E9" s="21">
        <f>SUM(E6:E8)</f>
        <v>5.580000000000001</v>
      </c>
      <c r="F9" s="22">
        <f>SUM(F6:F8)</f>
        <v>67.070000000000007</v>
      </c>
      <c r="G9" s="21">
        <f>SUM(G6:G8)</f>
        <v>342.02000000000004</v>
      </c>
      <c r="H9" s="3"/>
      <c r="I9" s="2" t="s">
        <v>7</v>
      </c>
      <c r="J9" s="1"/>
    </row>
    <row r="10" spans="1:10" x14ac:dyDescent="0.25">
      <c r="A10" s="207" t="s">
        <v>9</v>
      </c>
      <c r="B10" s="209"/>
      <c r="C10" s="209"/>
      <c r="D10" s="209"/>
      <c r="E10" s="209"/>
      <c r="F10" s="209"/>
      <c r="G10" s="209"/>
      <c r="H10" s="3"/>
      <c r="I10" s="2"/>
      <c r="J10" s="1"/>
    </row>
    <row r="11" spans="1:10" x14ac:dyDescent="0.25">
      <c r="A11" s="106" t="s">
        <v>56</v>
      </c>
      <c r="B11" s="107" t="s">
        <v>57</v>
      </c>
      <c r="C11" s="106">
        <v>230</v>
      </c>
      <c r="D11" s="106">
        <f>2.2/250*C11</f>
        <v>2.024</v>
      </c>
      <c r="E11" s="106">
        <f>2.78/250*C11</f>
        <v>2.5575999999999999</v>
      </c>
      <c r="F11" s="106">
        <f>15.38/250*C11</f>
        <v>14.149600000000001</v>
      </c>
      <c r="G11" s="106">
        <f>106/250*C11</f>
        <v>97.52</v>
      </c>
      <c r="H11" s="3"/>
      <c r="I11" s="2"/>
      <c r="J11" s="1"/>
    </row>
    <row r="12" spans="1:10" x14ac:dyDescent="0.25">
      <c r="A12" s="118" t="s">
        <v>66</v>
      </c>
      <c r="B12" s="127" t="s">
        <v>71</v>
      </c>
      <c r="C12" s="118">
        <v>150</v>
      </c>
      <c r="D12" s="132">
        <f>2.7/200*C12</f>
        <v>2.0250000000000004</v>
      </c>
      <c r="E12" s="132">
        <f>4.48/200*C12</f>
        <v>3.3600000000000003</v>
      </c>
      <c r="F12" s="132">
        <f>72.6/200*C12</f>
        <v>54.449999999999996</v>
      </c>
      <c r="G12" s="132">
        <f>281.2/200*C12</f>
        <v>210.89999999999998</v>
      </c>
      <c r="H12" s="3"/>
      <c r="I12" s="2"/>
      <c r="J12" s="6"/>
    </row>
    <row r="13" spans="1:10" x14ac:dyDescent="0.25">
      <c r="A13" s="118" t="s">
        <v>66</v>
      </c>
      <c r="B13" s="127" t="s">
        <v>72</v>
      </c>
      <c r="C13" s="118">
        <v>90</v>
      </c>
      <c r="D13" s="132">
        <f>12.8/100*C13</f>
        <v>11.52</v>
      </c>
      <c r="E13" s="132">
        <f>8.65/100*C13</f>
        <v>7.785000000000001</v>
      </c>
      <c r="F13" s="132">
        <f>22.82/100*C13</f>
        <v>20.538</v>
      </c>
      <c r="G13" s="132">
        <f>190.3/100*C13</f>
        <v>171.27</v>
      </c>
      <c r="H13" s="3"/>
      <c r="I13" s="2"/>
      <c r="J13" s="1"/>
    </row>
    <row r="14" spans="1:10" x14ac:dyDescent="0.25">
      <c r="A14" s="25" t="s">
        <v>34</v>
      </c>
      <c r="B14" s="120" t="s">
        <v>20</v>
      </c>
      <c r="C14" s="121">
        <v>20</v>
      </c>
      <c r="D14" s="89">
        <f>C14*1.3/50</f>
        <v>0.52</v>
      </c>
      <c r="E14" s="89">
        <f>C14*4.8/50</f>
        <v>1.92</v>
      </c>
      <c r="F14" s="89">
        <f>C14*4.7/50</f>
        <v>1.88</v>
      </c>
      <c r="G14" s="89">
        <f>16.88/50*C14</f>
        <v>6.7519999999999989</v>
      </c>
      <c r="H14" s="3"/>
      <c r="I14" s="2"/>
      <c r="J14" s="6"/>
    </row>
    <row r="15" spans="1:10" x14ac:dyDescent="0.25">
      <c r="A15" s="18"/>
      <c r="B15" s="19" t="s">
        <v>13</v>
      </c>
      <c r="C15" s="18">
        <v>50</v>
      </c>
      <c r="D15" s="18">
        <f>C15*6.6/100</f>
        <v>3.3</v>
      </c>
      <c r="E15" s="18">
        <f>C15*1.1/100</f>
        <v>0.55000000000000004</v>
      </c>
      <c r="F15" s="18">
        <f>C15*43.9/100</f>
        <v>21.95</v>
      </c>
      <c r="G15" s="18">
        <f>F15*4+E15*9+D15*4</f>
        <v>105.95</v>
      </c>
      <c r="H15" s="3"/>
      <c r="I15" s="2"/>
      <c r="J15" s="1"/>
    </row>
    <row r="16" spans="1:10" x14ac:dyDescent="0.25">
      <c r="A16" s="121" t="s">
        <v>25</v>
      </c>
      <c r="B16" s="120" t="s">
        <v>23</v>
      </c>
      <c r="C16" s="121">
        <v>200</v>
      </c>
      <c r="D16" s="122">
        <f>2.9*C16/100</f>
        <v>5.8</v>
      </c>
      <c r="E16" s="122">
        <f>2*C16/100</f>
        <v>4</v>
      </c>
      <c r="F16" s="122">
        <f>32.5*C16/100</f>
        <v>65</v>
      </c>
      <c r="G16" s="122">
        <f>194.6*C16/100</f>
        <v>389.2</v>
      </c>
      <c r="H16" s="3"/>
      <c r="I16" s="2"/>
      <c r="J16" s="1"/>
    </row>
    <row r="17" spans="1:10" x14ac:dyDescent="0.25">
      <c r="A17" s="207" t="s">
        <v>19</v>
      </c>
      <c r="B17" s="208"/>
      <c r="C17" s="73">
        <f>SUM(C11:C16)</f>
        <v>740</v>
      </c>
      <c r="D17" s="22">
        <f>SUM(D11:D16)</f>
        <v>25.189</v>
      </c>
      <c r="E17" s="22">
        <f>SUM(E11:E16)</f>
        <v>20.172599999999999</v>
      </c>
      <c r="F17" s="21">
        <f>SUM(F11:F16)</f>
        <v>177.9676</v>
      </c>
      <c r="G17" s="22">
        <f>SUM(G11:G16)</f>
        <v>981.59199999999987</v>
      </c>
      <c r="H17" s="3"/>
      <c r="I17" s="2"/>
      <c r="J17" s="1"/>
    </row>
    <row r="18" spans="1:10" x14ac:dyDescent="0.25">
      <c r="A18" s="205"/>
      <c r="B18" s="206"/>
      <c r="C18" s="206"/>
      <c r="D18" s="206"/>
      <c r="E18" s="206"/>
      <c r="F18" s="206"/>
      <c r="G18" s="206"/>
      <c r="H18" s="3"/>
      <c r="I18" s="2"/>
      <c r="J18" s="1"/>
    </row>
    <row r="19" spans="1:10" x14ac:dyDescent="0.25">
      <c r="A19" s="207" t="s">
        <v>17</v>
      </c>
      <c r="B19" s="208"/>
      <c r="C19" s="18"/>
      <c r="D19" s="22">
        <f>D9+D17</f>
        <v>31.068999999999999</v>
      </c>
      <c r="E19" s="22">
        <f>E9+E17</f>
        <v>25.752600000000001</v>
      </c>
      <c r="F19" s="22">
        <f>F9+F17</f>
        <v>245.0376</v>
      </c>
      <c r="G19" s="22">
        <f>G9+G17</f>
        <v>1323.6119999999999</v>
      </c>
      <c r="H19" s="3"/>
      <c r="I19" s="2"/>
      <c r="J19" s="1"/>
    </row>
    <row r="29" spans="1:10" x14ac:dyDescent="0.25">
      <c r="B29" s="3"/>
      <c r="C29" s="4"/>
      <c r="D29" s="3"/>
      <c r="E29" s="5"/>
      <c r="F29" s="5"/>
      <c r="G29" s="3"/>
    </row>
  </sheetData>
  <mergeCells count="13">
    <mergeCell ref="A1:C1"/>
    <mergeCell ref="D1:G1"/>
    <mergeCell ref="D2:G2"/>
    <mergeCell ref="A19:B19"/>
    <mergeCell ref="A3:A4"/>
    <mergeCell ref="B3:B4"/>
    <mergeCell ref="C3:C4"/>
    <mergeCell ref="D3:F3"/>
    <mergeCell ref="A9:B9"/>
    <mergeCell ref="A10:G10"/>
    <mergeCell ref="A17:B17"/>
    <mergeCell ref="A18:G18"/>
    <mergeCell ref="G3:G4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  <colBreaks count="1" manualBreakCount="1">
    <brk id="7" max="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Normal="110" zoomScaleSheetLayoutView="100" workbookViewId="0">
      <selection activeCell="E12" sqref="E12"/>
    </sheetView>
  </sheetViews>
  <sheetFormatPr defaultRowHeight="15" x14ac:dyDescent="0.25"/>
  <cols>
    <col min="1" max="1" width="9.85546875" customWidth="1"/>
    <col min="2" max="2" width="29" customWidth="1"/>
    <col min="3" max="3" width="6.7109375" customWidth="1"/>
    <col min="4" max="4" width="7.7109375" customWidth="1"/>
    <col min="5" max="5" width="7" customWidth="1"/>
    <col min="6" max="6" width="8.5703125" customWidth="1"/>
    <col min="7" max="7" width="8.85546875" customWidth="1"/>
  </cols>
  <sheetData>
    <row r="1" spans="1:10" ht="15.75" x14ac:dyDescent="0.25">
      <c r="A1" s="211"/>
      <c r="B1" s="211"/>
      <c r="C1" s="211"/>
      <c r="D1" s="212"/>
      <c r="E1" s="212"/>
      <c r="F1" s="212"/>
      <c r="G1" s="212"/>
    </row>
    <row r="2" spans="1:10" ht="15.75" x14ac:dyDescent="0.25">
      <c r="A2" s="153" t="s">
        <v>85</v>
      </c>
      <c r="B2" s="153"/>
      <c r="C2" s="69"/>
      <c r="D2" s="213" t="s">
        <v>54</v>
      </c>
      <c r="E2" s="213"/>
      <c r="F2" s="213"/>
      <c r="G2" s="213"/>
    </row>
    <row r="3" spans="1:10" ht="18" customHeight="1" x14ac:dyDescent="0.25">
      <c r="A3" s="214" t="s">
        <v>0</v>
      </c>
      <c r="B3" s="214" t="s">
        <v>1</v>
      </c>
      <c r="C3" s="216" t="s">
        <v>2</v>
      </c>
      <c r="D3" s="218" t="s">
        <v>6</v>
      </c>
      <c r="E3" s="219"/>
      <c r="F3" s="220"/>
      <c r="G3" s="216" t="s">
        <v>62</v>
      </c>
      <c r="H3" s="2"/>
      <c r="I3" s="2"/>
      <c r="J3" s="1"/>
    </row>
    <row r="4" spans="1:10" x14ac:dyDescent="0.25">
      <c r="A4" s="215"/>
      <c r="B4" s="215"/>
      <c r="C4" s="217"/>
      <c r="D4" s="14" t="s">
        <v>3</v>
      </c>
      <c r="E4" s="14" t="s">
        <v>4</v>
      </c>
      <c r="F4" s="14" t="s">
        <v>5</v>
      </c>
      <c r="G4" s="217"/>
      <c r="H4" s="2"/>
      <c r="I4" s="2"/>
      <c r="J4" s="1"/>
    </row>
    <row r="5" spans="1:10" x14ac:dyDescent="0.25">
      <c r="A5" s="60"/>
      <c r="B5" s="61"/>
      <c r="C5" s="61"/>
      <c r="D5" s="61"/>
      <c r="E5" s="61"/>
      <c r="F5" s="62" t="s">
        <v>8</v>
      </c>
      <c r="G5" s="61"/>
      <c r="H5" s="2"/>
      <c r="I5" s="2"/>
      <c r="J5" s="1"/>
    </row>
    <row r="6" spans="1:10" ht="25.5" x14ac:dyDescent="0.25">
      <c r="A6" s="118" t="s">
        <v>40</v>
      </c>
      <c r="B6" s="127" t="s">
        <v>39</v>
      </c>
      <c r="C6" s="118">
        <v>150</v>
      </c>
      <c r="D6" s="118">
        <f>8.65/150*C6</f>
        <v>8.65</v>
      </c>
      <c r="E6" s="118">
        <f>18.1/150*C6</f>
        <v>18.100000000000001</v>
      </c>
      <c r="F6" s="132">
        <f>29.95/150*C6</f>
        <v>29.95</v>
      </c>
      <c r="G6" s="118">
        <f>282.2/150*C6</f>
        <v>282.2</v>
      </c>
      <c r="H6" s="3"/>
      <c r="I6" s="2"/>
      <c r="J6" s="1"/>
    </row>
    <row r="7" spans="1:10" x14ac:dyDescent="0.25">
      <c r="A7" s="195"/>
      <c r="B7" s="194" t="s">
        <v>13</v>
      </c>
      <c r="C7" s="193">
        <v>30</v>
      </c>
      <c r="D7" s="202">
        <f>C7*6.6/100</f>
        <v>1.98</v>
      </c>
      <c r="E7" s="202">
        <f>C7*1.1/100</f>
        <v>0.33</v>
      </c>
      <c r="F7" s="202">
        <f>C7*43.9/100</f>
        <v>13.17</v>
      </c>
      <c r="G7" s="202">
        <f t="shared" ref="G7" si="0">F7*4+E7*9+D7*4</f>
        <v>63.57</v>
      </c>
      <c r="H7" s="3"/>
      <c r="I7" s="2"/>
      <c r="J7" s="1"/>
    </row>
    <row r="8" spans="1:10" x14ac:dyDescent="0.25">
      <c r="A8" s="121" t="s">
        <v>25</v>
      </c>
      <c r="B8" s="120" t="s">
        <v>23</v>
      </c>
      <c r="C8" s="121">
        <v>200</v>
      </c>
      <c r="D8" s="122">
        <f>2.9*C8/100</f>
        <v>5.8</v>
      </c>
      <c r="E8" s="122">
        <f>2*C8/100</f>
        <v>4</v>
      </c>
      <c r="F8" s="122">
        <f>32.5*C8/100</f>
        <v>65</v>
      </c>
      <c r="G8" s="122">
        <f>194.6*C8/100</f>
        <v>389.2</v>
      </c>
      <c r="H8" s="3"/>
      <c r="I8" s="2"/>
      <c r="J8" s="1"/>
    </row>
    <row r="9" spans="1:10" x14ac:dyDescent="0.25">
      <c r="A9" s="207" t="s">
        <v>18</v>
      </c>
      <c r="B9" s="208"/>
      <c r="C9" s="21">
        <f>SUM(C6:C8)</f>
        <v>380</v>
      </c>
      <c r="D9" s="21">
        <f>SUM(D6:D8)</f>
        <v>16.43</v>
      </c>
      <c r="E9" s="78">
        <f>SUM(E6:E8)</f>
        <v>22.43</v>
      </c>
      <c r="F9" s="78">
        <f>SUM(F6:F8)</f>
        <v>108.12</v>
      </c>
      <c r="G9" s="78">
        <f>SUM(G6:G8)</f>
        <v>734.97</v>
      </c>
      <c r="H9" s="3"/>
      <c r="I9" s="2" t="s">
        <v>7</v>
      </c>
      <c r="J9" s="1"/>
    </row>
    <row r="10" spans="1:10" x14ac:dyDescent="0.25">
      <c r="A10" s="207" t="s">
        <v>9</v>
      </c>
      <c r="B10" s="209"/>
      <c r="C10" s="209"/>
      <c r="D10" s="209"/>
      <c r="E10" s="209"/>
      <c r="F10" s="209"/>
      <c r="G10" s="209"/>
      <c r="H10" s="3"/>
      <c r="I10" s="2"/>
      <c r="J10" s="1"/>
    </row>
    <row r="11" spans="1:10" x14ac:dyDescent="0.25">
      <c r="A11" s="119" t="s">
        <v>29</v>
      </c>
      <c r="B11" s="112" t="s">
        <v>75</v>
      </c>
      <c r="C11" s="119">
        <v>200</v>
      </c>
      <c r="D11" s="55">
        <f>C11*1.17/100</f>
        <v>2.34</v>
      </c>
      <c r="E11" s="55">
        <f>C11*4.05/100</f>
        <v>8.1</v>
      </c>
      <c r="F11" s="55">
        <f>C11*6.94/100</f>
        <v>13.88</v>
      </c>
      <c r="G11" s="55">
        <f t="shared" ref="G11:G13" si="1">F11*4+E11*9+D11*4</f>
        <v>137.77999999999997</v>
      </c>
      <c r="H11" s="3"/>
      <c r="I11" s="2"/>
      <c r="J11" s="1"/>
    </row>
    <row r="12" spans="1:10" x14ac:dyDescent="0.25">
      <c r="A12" s="18" t="s">
        <v>33</v>
      </c>
      <c r="B12" s="23" t="s">
        <v>32</v>
      </c>
      <c r="C12" s="18">
        <v>150</v>
      </c>
      <c r="D12" s="20">
        <f>C12*3.5/100</f>
        <v>5.25</v>
      </c>
      <c r="E12" s="20">
        <f>C12*4.1/100</f>
        <v>6.15</v>
      </c>
      <c r="F12" s="20">
        <f>C12*23.5/100</f>
        <v>35.25</v>
      </c>
      <c r="G12" s="20">
        <f t="shared" si="1"/>
        <v>217.35</v>
      </c>
      <c r="H12" s="3"/>
      <c r="I12" s="2"/>
      <c r="J12" s="1"/>
    </row>
    <row r="13" spans="1:10" x14ac:dyDescent="0.25">
      <c r="A13" s="121" t="s">
        <v>44</v>
      </c>
      <c r="B13" s="120" t="s">
        <v>43</v>
      </c>
      <c r="C13" s="121">
        <v>100</v>
      </c>
      <c r="D13" s="122">
        <f>C13*17.5/100</f>
        <v>17.5</v>
      </c>
      <c r="E13" s="122">
        <f>C13*14.9/100</f>
        <v>14.9</v>
      </c>
      <c r="F13" s="122">
        <f>C13*9/100</f>
        <v>9</v>
      </c>
      <c r="G13" s="122">
        <f t="shared" si="1"/>
        <v>240.1</v>
      </c>
      <c r="H13" s="3"/>
      <c r="I13" s="2"/>
      <c r="J13" s="1"/>
    </row>
    <row r="14" spans="1:10" s="198" customFormat="1" x14ac:dyDescent="0.25">
      <c r="A14" s="202" t="s">
        <v>34</v>
      </c>
      <c r="B14" s="203" t="s">
        <v>20</v>
      </c>
      <c r="C14" s="202">
        <v>30</v>
      </c>
      <c r="D14" s="204">
        <v>0.78</v>
      </c>
      <c r="E14" s="204">
        <v>2.89</v>
      </c>
      <c r="F14" s="204">
        <v>2.82</v>
      </c>
      <c r="G14" s="204">
        <v>40.32</v>
      </c>
      <c r="H14" s="201"/>
      <c r="I14" s="200"/>
      <c r="J14" s="199"/>
    </row>
    <row r="15" spans="1:10" x14ac:dyDescent="0.25">
      <c r="A15" s="18"/>
      <c r="B15" s="19" t="s">
        <v>13</v>
      </c>
      <c r="C15" s="18">
        <v>50</v>
      </c>
      <c r="D15" s="186">
        <f>C15*6.6/100</f>
        <v>3.3</v>
      </c>
      <c r="E15" s="186">
        <f>C15*1.1/100</f>
        <v>0.55000000000000004</v>
      </c>
      <c r="F15" s="186">
        <f>C15*43.9/100</f>
        <v>21.95</v>
      </c>
      <c r="G15" s="186">
        <f t="shared" ref="G15" si="2">F15*4+E15*9+D15*4</f>
        <v>105.95</v>
      </c>
      <c r="H15" s="3"/>
      <c r="I15" s="2"/>
      <c r="J15" s="1"/>
    </row>
    <row r="16" spans="1:10" x14ac:dyDescent="0.25">
      <c r="A16" s="18" t="s">
        <v>48</v>
      </c>
      <c r="B16" s="19" t="s">
        <v>82</v>
      </c>
      <c r="C16" s="45">
        <v>200</v>
      </c>
      <c r="D16" s="46">
        <f>0.4/200*C16</f>
        <v>0.4</v>
      </c>
      <c r="E16" s="46">
        <f>0.27/200*C16</f>
        <v>0.27</v>
      </c>
      <c r="F16" s="46">
        <f>17.2/200*C16</f>
        <v>17.2</v>
      </c>
      <c r="G16" s="46">
        <f>72.83/200*C16</f>
        <v>72.83</v>
      </c>
      <c r="H16" s="3"/>
      <c r="I16" s="2"/>
      <c r="J16" s="1"/>
    </row>
    <row r="17" spans="1:10" x14ac:dyDescent="0.25">
      <c r="A17" s="207" t="s">
        <v>19</v>
      </c>
      <c r="B17" s="208"/>
      <c r="C17" s="73">
        <f>SUM(C11:C16)</f>
        <v>730</v>
      </c>
      <c r="D17" s="22">
        <f>SUM(D11:D16)</f>
        <v>29.57</v>
      </c>
      <c r="E17" s="22">
        <f>SUM(E11:E16)</f>
        <v>32.86</v>
      </c>
      <c r="F17" s="22">
        <f>SUM(F11:F16)</f>
        <v>100.10000000000001</v>
      </c>
      <c r="G17" s="22">
        <f>SUM(G11:G16)</f>
        <v>814.33000000000015</v>
      </c>
      <c r="H17" s="3"/>
      <c r="I17" s="2"/>
      <c r="J17" s="1"/>
    </row>
    <row r="18" spans="1:10" x14ac:dyDescent="0.25">
      <c r="A18" s="205"/>
      <c r="B18" s="206"/>
      <c r="C18" s="206"/>
      <c r="D18" s="206"/>
      <c r="E18" s="206"/>
      <c r="F18" s="206"/>
      <c r="G18" s="206"/>
      <c r="H18" s="3"/>
      <c r="I18" s="2"/>
      <c r="J18" s="1"/>
    </row>
    <row r="19" spans="1:10" x14ac:dyDescent="0.25">
      <c r="A19" s="207" t="s">
        <v>17</v>
      </c>
      <c r="B19" s="208"/>
      <c r="C19" s="18"/>
      <c r="D19" s="22">
        <f>D9+D17</f>
        <v>46</v>
      </c>
      <c r="E19" s="22">
        <f>E9+E17</f>
        <v>55.29</v>
      </c>
      <c r="F19" s="22">
        <f>F9+F17</f>
        <v>208.22000000000003</v>
      </c>
      <c r="G19" s="22">
        <f>G9+G17</f>
        <v>1549.3000000000002</v>
      </c>
      <c r="H19" s="3"/>
      <c r="I19" s="2"/>
      <c r="J19" s="1"/>
    </row>
  </sheetData>
  <mergeCells count="13">
    <mergeCell ref="A1:C1"/>
    <mergeCell ref="D1:G1"/>
    <mergeCell ref="D2:G2"/>
    <mergeCell ref="A19:B19"/>
    <mergeCell ref="A3:A4"/>
    <mergeCell ref="B3:B4"/>
    <mergeCell ref="C3:C4"/>
    <mergeCell ref="D3:F3"/>
    <mergeCell ref="A9:B9"/>
    <mergeCell ref="A10:G10"/>
    <mergeCell ref="A17:B17"/>
    <mergeCell ref="A18:G18"/>
    <mergeCell ref="G3:G4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Normal="110" zoomScaleSheetLayoutView="100" workbookViewId="0">
      <selection activeCell="H9" sqref="H9"/>
    </sheetView>
  </sheetViews>
  <sheetFormatPr defaultRowHeight="15" x14ac:dyDescent="0.25"/>
  <cols>
    <col min="1" max="1" width="9.85546875" customWidth="1"/>
    <col min="2" max="2" width="34.28515625" customWidth="1"/>
    <col min="3" max="3" width="8" customWidth="1"/>
    <col min="4" max="4" width="7.7109375" customWidth="1"/>
    <col min="5" max="5" width="7" customWidth="1"/>
    <col min="7" max="7" width="10.140625" customWidth="1"/>
  </cols>
  <sheetData>
    <row r="1" spans="1:11" ht="15.75" x14ac:dyDescent="0.25">
      <c r="A1" s="211"/>
      <c r="B1" s="211"/>
      <c r="C1" s="211"/>
      <c r="D1" s="212"/>
      <c r="E1" s="212"/>
      <c r="F1" s="212"/>
      <c r="G1" s="212"/>
    </row>
    <row r="2" spans="1:11" ht="15.75" x14ac:dyDescent="0.25">
      <c r="A2" s="153" t="s">
        <v>85</v>
      </c>
      <c r="B2" s="153"/>
      <c r="C2" s="69"/>
      <c r="D2" s="213" t="s">
        <v>55</v>
      </c>
      <c r="E2" s="213"/>
      <c r="F2" s="213"/>
      <c r="G2" s="213"/>
    </row>
    <row r="3" spans="1:11" ht="18" customHeight="1" x14ac:dyDescent="0.25">
      <c r="A3" s="214" t="s">
        <v>0</v>
      </c>
      <c r="B3" s="214" t="s">
        <v>1</v>
      </c>
      <c r="C3" s="216" t="s">
        <v>2</v>
      </c>
      <c r="D3" s="218" t="s">
        <v>6</v>
      </c>
      <c r="E3" s="219"/>
      <c r="F3" s="220"/>
      <c r="G3" s="216" t="s">
        <v>61</v>
      </c>
      <c r="H3" s="2"/>
      <c r="I3" s="2"/>
      <c r="J3" s="2"/>
      <c r="K3" s="1"/>
    </row>
    <row r="4" spans="1:11" ht="58.5" customHeight="1" x14ac:dyDescent="0.25">
      <c r="A4" s="215"/>
      <c r="B4" s="215"/>
      <c r="C4" s="217"/>
      <c r="D4" s="14" t="s">
        <v>3</v>
      </c>
      <c r="E4" s="14" t="s">
        <v>4</v>
      </c>
      <c r="F4" s="14" t="s">
        <v>5</v>
      </c>
      <c r="G4" s="217"/>
      <c r="H4" s="2"/>
      <c r="I4" s="2"/>
      <c r="J4" s="2"/>
      <c r="K4" s="1"/>
    </row>
    <row r="5" spans="1:11" x14ac:dyDescent="0.25">
      <c r="A5" s="15"/>
      <c r="B5" s="16"/>
      <c r="C5" s="16"/>
      <c r="D5" s="16"/>
      <c r="E5" s="16"/>
      <c r="F5" s="17" t="s">
        <v>8</v>
      </c>
      <c r="G5" s="16"/>
      <c r="H5" s="2"/>
      <c r="I5" s="2"/>
      <c r="J5" s="2"/>
      <c r="K5" s="1"/>
    </row>
    <row r="6" spans="1:11" ht="25.5" customHeight="1" x14ac:dyDescent="0.25">
      <c r="A6" s="149">
        <v>125</v>
      </c>
      <c r="B6" s="82" t="s">
        <v>79</v>
      </c>
      <c r="C6" s="81">
        <v>150</v>
      </c>
      <c r="D6" s="81">
        <f>4.4/150*C6</f>
        <v>4.4000000000000004</v>
      </c>
      <c r="E6" s="81">
        <f>6.3/150*C6</f>
        <v>6.2999999999999989</v>
      </c>
      <c r="F6" s="81">
        <f>21.8/150*C6</f>
        <v>21.8</v>
      </c>
      <c r="G6" s="81">
        <f>157.2/150*C6</f>
        <v>157.19999999999996</v>
      </c>
      <c r="H6" s="3"/>
      <c r="I6" s="3"/>
      <c r="J6" s="2"/>
      <c r="K6" s="1"/>
    </row>
    <row r="7" spans="1:11" s="101" customFormat="1" ht="21" customHeight="1" x14ac:dyDescent="0.25">
      <c r="A7" s="149"/>
      <c r="B7" s="120" t="s">
        <v>13</v>
      </c>
      <c r="C7" s="121">
        <v>30</v>
      </c>
      <c r="D7" s="202">
        <f>C7*6.6/100</f>
        <v>1.98</v>
      </c>
      <c r="E7" s="202">
        <f>C7*1.1/100</f>
        <v>0.33</v>
      </c>
      <c r="F7" s="202">
        <f>C7*43.9/100</f>
        <v>13.17</v>
      </c>
      <c r="G7" s="202">
        <f t="shared" ref="G7" si="0">F7*4+E7*9+D7*4</f>
        <v>63.57</v>
      </c>
      <c r="H7" s="88"/>
      <c r="I7" s="88"/>
      <c r="J7" s="87"/>
      <c r="K7" s="86"/>
    </row>
    <row r="8" spans="1:11" x14ac:dyDescent="0.25">
      <c r="A8" s="116" t="s">
        <v>16</v>
      </c>
      <c r="B8" s="114" t="s">
        <v>15</v>
      </c>
      <c r="C8" s="116">
        <v>200</v>
      </c>
      <c r="D8" s="115">
        <v>3.456</v>
      </c>
      <c r="E8" s="115">
        <v>3.7760000000000002</v>
      </c>
      <c r="F8" s="115">
        <v>13.283999999999999</v>
      </c>
      <c r="G8" s="115">
        <v>100.24000000000001</v>
      </c>
      <c r="H8" s="3"/>
      <c r="I8" s="3"/>
      <c r="J8" s="2"/>
      <c r="K8" s="1"/>
    </row>
    <row r="9" spans="1:11" x14ac:dyDescent="0.25">
      <c r="A9" s="207" t="s">
        <v>18</v>
      </c>
      <c r="B9" s="208"/>
      <c r="C9" s="21">
        <f>SUM(C6:C8)</f>
        <v>380</v>
      </c>
      <c r="D9" s="21">
        <f>SUM(D6:D8)</f>
        <v>9.8360000000000003</v>
      </c>
      <c r="E9" s="22">
        <f>SUM(E6:E8)</f>
        <v>10.405999999999999</v>
      </c>
      <c r="F9" s="22">
        <f>SUM(F6:F8)</f>
        <v>48.253999999999998</v>
      </c>
      <c r="G9" s="22">
        <f>SUM(G6:G8)</f>
        <v>321.01</v>
      </c>
      <c r="H9" s="3"/>
      <c r="I9" s="3"/>
      <c r="J9" s="2" t="s">
        <v>7</v>
      </c>
      <c r="K9" s="1"/>
    </row>
    <row r="10" spans="1:11" x14ac:dyDescent="0.25">
      <c r="A10" s="251" t="s">
        <v>9</v>
      </c>
      <c r="B10" s="252"/>
      <c r="C10" s="252"/>
      <c r="D10" s="252"/>
      <c r="E10" s="252"/>
      <c r="F10" s="252"/>
      <c r="G10" s="252"/>
      <c r="H10" s="3"/>
      <c r="I10" s="3"/>
      <c r="J10" s="2"/>
      <c r="K10" s="1"/>
    </row>
    <row r="11" spans="1:11" x14ac:dyDescent="0.25">
      <c r="A11" s="139" t="s">
        <v>31</v>
      </c>
      <c r="B11" s="143" t="s">
        <v>30</v>
      </c>
      <c r="C11" s="144">
        <v>200</v>
      </c>
      <c r="D11" s="145">
        <f>2.4/250*C11</f>
        <v>1.92</v>
      </c>
      <c r="E11" s="145">
        <f>4.3/250*C11</f>
        <v>3.44</v>
      </c>
      <c r="F11" s="146">
        <f>10/250*C11</f>
        <v>8</v>
      </c>
      <c r="G11" s="145">
        <f>88/250*C11</f>
        <v>70.399999999999991</v>
      </c>
      <c r="H11" s="3"/>
      <c r="I11" s="3"/>
      <c r="J11" s="2"/>
      <c r="K11" s="1"/>
    </row>
    <row r="12" spans="1:11" x14ac:dyDescent="0.25">
      <c r="A12" s="108" t="s">
        <v>66</v>
      </c>
      <c r="B12" s="27" t="s">
        <v>58</v>
      </c>
      <c r="C12" s="125">
        <v>180</v>
      </c>
      <c r="D12" s="150">
        <v>8.9</v>
      </c>
      <c r="E12" s="150">
        <v>4.9000000000000004</v>
      </c>
      <c r="F12" s="150">
        <v>10.8</v>
      </c>
      <c r="G12" s="150">
        <v>123</v>
      </c>
      <c r="H12" s="3"/>
      <c r="I12" s="3"/>
      <c r="J12" s="2"/>
      <c r="K12" s="1"/>
    </row>
    <row r="13" spans="1:11" x14ac:dyDescent="0.25">
      <c r="A13" s="18"/>
      <c r="B13" s="19" t="s">
        <v>13</v>
      </c>
      <c r="C13" s="18">
        <v>50</v>
      </c>
      <c r="D13" s="122">
        <f>C13*6.6/100</f>
        <v>3.3</v>
      </c>
      <c r="E13" s="122">
        <f>C13*1.1/100</f>
        <v>0.55000000000000004</v>
      </c>
      <c r="F13" s="122">
        <f>C13*43.9/100</f>
        <v>21.95</v>
      </c>
      <c r="G13" s="122">
        <f t="shared" ref="G13" si="1">F13*4+E13*9+D13*4</f>
        <v>105.95</v>
      </c>
      <c r="H13" s="3"/>
      <c r="I13" s="3"/>
      <c r="J13" s="2"/>
      <c r="K13" s="1"/>
    </row>
    <row r="14" spans="1:11" x14ac:dyDescent="0.25">
      <c r="A14" s="65" t="s">
        <v>26</v>
      </c>
      <c r="B14" s="66" t="s">
        <v>14</v>
      </c>
      <c r="C14" s="121">
        <v>200</v>
      </c>
      <c r="D14" s="122">
        <f>0.6/200*C14</f>
        <v>0.6</v>
      </c>
      <c r="E14" s="122">
        <f>0/200*C14</f>
        <v>0</v>
      </c>
      <c r="F14" s="122">
        <f>31.4/200*C14</f>
        <v>31.4</v>
      </c>
      <c r="G14" s="122">
        <f>128/200*C14</f>
        <v>128</v>
      </c>
      <c r="H14" s="3"/>
      <c r="I14" s="3"/>
      <c r="J14" s="2"/>
      <c r="K14" s="1"/>
    </row>
    <row r="15" spans="1:11" x14ac:dyDescent="0.25">
      <c r="A15" s="207" t="s">
        <v>19</v>
      </c>
      <c r="B15" s="208"/>
      <c r="C15" s="83">
        <f>SUM(C11:C14)</f>
        <v>630</v>
      </c>
      <c r="D15" s="22">
        <f>SUM(D11:D14)</f>
        <v>14.72</v>
      </c>
      <c r="E15" s="22">
        <f>SUM(E11:E14)</f>
        <v>8.89</v>
      </c>
      <c r="F15" s="22">
        <f>SUM(F11:F14)</f>
        <v>72.150000000000006</v>
      </c>
      <c r="G15" s="22">
        <f>SUM(G11:G14)</f>
        <v>427.34999999999997</v>
      </c>
      <c r="H15" s="3"/>
      <c r="I15" s="3"/>
      <c r="J15" s="2"/>
      <c r="K15" s="1"/>
    </row>
    <row r="16" spans="1:11" x14ac:dyDescent="0.25">
      <c r="A16" s="205"/>
      <c r="B16" s="206"/>
      <c r="C16" s="206"/>
      <c r="D16" s="206"/>
      <c r="E16" s="206"/>
      <c r="F16" s="206"/>
      <c r="G16" s="206"/>
      <c r="H16" s="3"/>
      <c r="I16" s="3"/>
      <c r="J16" s="2"/>
      <c r="K16" s="1"/>
    </row>
    <row r="17" spans="1:11" x14ac:dyDescent="0.25">
      <c r="A17" s="207" t="s">
        <v>17</v>
      </c>
      <c r="B17" s="208"/>
      <c r="C17" s="18"/>
      <c r="D17" s="22">
        <f>D9+D15</f>
        <v>24.556000000000001</v>
      </c>
      <c r="E17" s="22">
        <f>E9+E15</f>
        <v>19.295999999999999</v>
      </c>
      <c r="F17" s="22">
        <f>F9+F15</f>
        <v>120.404</v>
      </c>
      <c r="G17" s="22">
        <f>G9+G15</f>
        <v>748.3599999999999</v>
      </c>
      <c r="H17" s="3"/>
      <c r="I17" s="3"/>
      <c r="J17" s="2"/>
      <c r="K17" s="1"/>
    </row>
  </sheetData>
  <mergeCells count="13">
    <mergeCell ref="A1:C1"/>
    <mergeCell ref="D1:G1"/>
    <mergeCell ref="D2:G2"/>
    <mergeCell ref="A17:B17"/>
    <mergeCell ref="A3:A4"/>
    <mergeCell ref="B3:B4"/>
    <mergeCell ref="C3:C4"/>
    <mergeCell ref="D3:F3"/>
    <mergeCell ref="A9:B9"/>
    <mergeCell ref="A10:G10"/>
    <mergeCell ref="A15:B15"/>
    <mergeCell ref="A16:G16"/>
    <mergeCell ref="G3:G4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view="pageBreakPreview" zoomScale="112" zoomScaleSheetLayoutView="112" workbookViewId="0">
      <selection activeCell="D3" sqref="D3"/>
    </sheetView>
  </sheetViews>
  <sheetFormatPr defaultRowHeight="15" x14ac:dyDescent="0.25"/>
  <cols>
    <col min="1" max="2" width="9.28515625" bestFit="1" customWidth="1"/>
    <col min="3" max="3" width="11" customWidth="1"/>
    <col min="4" max="4" width="11.85546875" customWidth="1"/>
  </cols>
  <sheetData>
    <row r="1" spans="1:4" ht="15.75" x14ac:dyDescent="0.25">
      <c r="A1" s="253" t="s">
        <v>6</v>
      </c>
      <c r="B1" s="253"/>
      <c r="C1" s="253"/>
      <c r="D1" s="254" t="s">
        <v>61</v>
      </c>
    </row>
    <row r="2" spans="1:4" ht="15.75" x14ac:dyDescent="0.25">
      <c r="A2" s="70" t="s">
        <v>3</v>
      </c>
      <c r="B2" s="70" t="s">
        <v>4</v>
      </c>
      <c r="C2" s="70" t="s">
        <v>5</v>
      </c>
      <c r="D2" s="254"/>
    </row>
    <row r="3" spans="1:4" ht="15.75" x14ac:dyDescent="0.25">
      <c r="A3" s="71">
        <f>('День 1'!D19+'День 2'!D19+'День 3'!D17+'День 4'!D18+'День 5'!D18+'День 6'!D19+'День 7'!D20+'День 8'!D19+'День 9'!D18+'День 10'!D19+'День 11'!D19+'День 12'!D17)/12</f>
        <v>35.1815</v>
      </c>
      <c r="B3" s="71">
        <f>('День 1'!E19+'День 2'!E19+'День 3'!E17+'День 4'!E18+'День 5'!E18+'День 6'!E19+'День 7'!E20+'День 8'!E19+'День 9'!E18+'День 10'!E19+'День 11'!E19+'День 12'!E17)/12</f>
        <v>34.920433333333335</v>
      </c>
      <c r="C3" s="71">
        <f>('День 1'!F19+'День 2'!F19+'День 3'!F17+'День 4'!F18+'День 5'!F18+'День 6'!F19+'День 7'!F20+'День 8'!F19+'День 9'!F18+'День 10'!F19+'День 11'!F19+'День 12'!F17)/12</f>
        <v>180.85451666666665</v>
      </c>
      <c r="D3" s="71">
        <f>('День 1'!G19+'День 2'!G19+'День 3'!G17+'День 4'!G18+'День 5'!G18+'День 6'!G19+'День 7'!G20+'День 8'!G19+'День 9'!G18+'День 10'!G19+'День 11'!G19+'День 12'!G17)/12</f>
        <v>1190.3305</v>
      </c>
    </row>
    <row r="4" spans="1:4" ht="15.75" x14ac:dyDescent="0.25">
      <c r="A4" s="71">
        <f>A3/B3</f>
        <v>1.0074760431571581</v>
      </c>
      <c r="B4" s="71">
        <f>B3/A3</f>
        <v>0.99257943331959508</v>
      </c>
      <c r="C4" s="72">
        <v>3.9</v>
      </c>
      <c r="D4" s="72"/>
    </row>
  </sheetData>
  <mergeCells count="2">
    <mergeCell ref="A1:C1"/>
    <mergeCell ref="D1:D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Normal="110" zoomScaleSheetLayoutView="100" workbookViewId="0">
      <selection activeCell="D13" sqref="D13:G13"/>
    </sheetView>
  </sheetViews>
  <sheetFormatPr defaultRowHeight="15" x14ac:dyDescent="0.25"/>
  <cols>
    <col min="1" max="1" width="9.85546875" customWidth="1"/>
    <col min="2" max="2" width="27.85546875" customWidth="1"/>
    <col min="3" max="3" width="8" customWidth="1"/>
    <col min="4" max="4" width="7.7109375" customWidth="1"/>
    <col min="5" max="5" width="7" customWidth="1"/>
    <col min="7" max="7" width="8.85546875" customWidth="1"/>
  </cols>
  <sheetData>
    <row r="1" spans="1:11" ht="15.75" customHeight="1" x14ac:dyDescent="0.25">
      <c r="A1" s="211"/>
      <c r="B1" s="211"/>
      <c r="C1" s="211"/>
      <c r="D1" s="212"/>
      <c r="E1" s="212"/>
      <c r="F1" s="212"/>
      <c r="G1" s="212"/>
      <c r="H1" s="2"/>
      <c r="I1" s="2"/>
      <c r="J1" s="2"/>
      <c r="K1" s="1"/>
    </row>
    <row r="2" spans="1:11" ht="15.75" x14ac:dyDescent="0.25">
      <c r="A2" s="153" t="s">
        <v>85</v>
      </c>
      <c r="B2" s="153"/>
      <c r="C2" s="69"/>
      <c r="D2" s="213" t="s">
        <v>52</v>
      </c>
      <c r="E2" s="213"/>
      <c r="F2" s="213"/>
      <c r="G2" s="213"/>
      <c r="H2" s="2"/>
      <c r="I2" s="2"/>
      <c r="J2" s="2"/>
      <c r="K2" s="1"/>
    </row>
    <row r="3" spans="1:11" ht="15" customHeight="1" x14ac:dyDescent="0.25">
      <c r="A3" s="214" t="s">
        <v>0</v>
      </c>
      <c r="B3" s="214" t="s">
        <v>1</v>
      </c>
      <c r="C3" s="216" t="s">
        <v>2</v>
      </c>
      <c r="D3" s="218" t="s">
        <v>6</v>
      </c>
      <c r="E3" s="219"/>
      <c r="F3" s="220"/>
      <c r="G3" s="216" t="s">
        <v>61</v>
      </c>
      <c r="H3" s="2"/>
      <c r="I3" s="2"/>
      <c r="J3" s="2"/>
      <c r="K3" s="1"/>
    </row>
    <row r="4" spans="1:11" x14ac:dyDescent="0.25">
      <c r="A4" s="215"/>
      <c r="B4" s="215"/>
      <c r="C4" s="217"/>
      <c r="D4" s="14" t="s">
        <v>3</v>
      </c>
      <c r="E4" s="14" t="s">
        <v>4</v>
      </c>
      <c r="F4" s="14" t="s">
        <v>5</v>
      </c>
      <c r="G4" s="217"/>
      <c r="H4" s="3"/>
      <c r="I4" s="3"/>
      <c r="J4" s="2"/>
      <c r="K4" s="1"/>
    </row>
    <row r="5" spans="1:11" x14ac:dyDescent="0.25">
      <c r="A5" s="15"/>
      <c r="B5" s="16"/>
      <c r="C5" s="16"/>
      <c r="D5" s="16"/>
      <c r="E5" s="16"/>
      <c r="F5" s="17" t="s">
        <v>8</v>
      </c>
      <c r="G5" s="16"/>
      <c r="H5" s="3"/>
      <c r="I5" s="3"/>
      <c r="J5" s="2"/>
      <c r="K5" s="1"/>
    </row>
    <row r="6" spans="1:11" x14ac:dyDescent="0.25">
      <c r="A6" s="136" t="s">
        <v>66</v>
      </c>
      <c r="B6" s="177" t="s">
        <v>94</v>
      </c>
      <c r="C6" s="136">
        <v>150</v>
      </c>
      <c r="D6" s="118">
        <f>16.42/200*C6</f>
        <v>12.315000000000001</v>
      </c>
      <c r="E6" s="118">
        <f>14.1/200*C6</f>
        <v>10.574999999999999</v>
      </c>
      <c r="F6" s="137">
        <f>84.1/200*C6</f>
        <v>63.074999999999996</v>
      </c>
      <c r="G6" s="132">
        <f>486/200*C6</f>
        <v>364.5</v>
      </c>
      <c r="H6" s="3"/>
      <c r="I6" s="3"/>
      <c r="J6" s="2"/>
      <c r="K6" s="1"/>
    </row>
    <row r="7" spans="1:11" x14ac:dyDescent="0.25">
      <c r="A7" s="181" t="s">
        <v>16</v>
      </c>
      <c r="B7" s="180" t="s">
        <v>15</v>
      </c>
      <c r="C7" s="181">
        <v>200</v>
      </c>
      <c r="D7" s="182">
        <f>3.456/200*C7</f>
        <v>3.456</v>
      </c>
      <c r="E7" s="182">
        <f>3.776/200*C7</f>
        <v>3.7759999999999994</v>
      </c>
      <c r="F7" s="182">
        <f>13.284/200*C7</f>
        <v>13.284000000000001</v>
      </c>
      <c r="G7" s="182">
        <f>100.24/200*C7</f>
        <v>100.24</v>
      </c>
      <c r="H7" s="3"/>
      <c r="I7" s="3"/>
      <c r="J7" s="2"/>
      <c r="K7" s="1"/>
    </row>
    <row r="8" spans="1:11" x14ac:dyDescent="0.25">
      <c r="A8" s="221" t="s">
        <v>18</v>
      </c>
      <c r="B8" s="222"/>
      <c r="C8" s="141">
        <f>SUM(C6:C7)</f>
        <v>350</v>
      </c>
      <c r="D8" s="142">
        <f>SUM(D6:D7)</f>
        <v>15.771000000000001</v>
      </c>
      <c r="E8" s="141">
        <f>SUM(E6:E7)</f>
        <v>14.350999999999999</v>
      </c>
      <c r="F8" s="142">
        <f>SUM(F6:F7)</f>
        <v>76.358999999999995</v>
      </c>
      <c r="G8" s="142">
        <f>SUM(G6:G7)</f>
        <v>464.74</v>
      </c>
      <c r="H8" s="3"/>
      <c r="I8" s="3"/>
      <c r="J8" s="2"/>
      <c r="K8" s="1"/>
    </row>
    <row r="9" spans="1:11" x14ac:dyDescent="0.25">
      <c r="A9" s="221" t="s">
        <v>9</v>
      </c>
      <c r="B9" s="223"/>
      <c r="C9" s="223"/>
      <c r="D9" s="223"/>
      <c r="E9" s="223"/>
      <c r="F9" s="223"/>
      <c r="G9" s="223"/>
      <c r="H9" s="3"/>
      <c r="I9" s="3"/>
      <c r="J9" s="2"/>
      <c r="K9" s="1"/>
    </row>
    <row r="10" spans="1:11" ht="24" customHeight="1" x14ac:dyDescent="0.25">
      <c r="A10" s="139" t="s">
        <v>31</v>
      </c>
      <c r="B10" s="143" t="s">
        <v>30</v>
      </c>
      <c r="C10" s="144">
        <v>200</v>
      </c>
      <c r="D10" s="145">
        <f>2.4/250*C10</f>
        <v>1.92</v>
      </c>
      <c r="E10" s="145">
        <f>4.3/250*C10</f>
        <v>3.44</v>
      </c>
      <c r="F10" s="146">
        <f>10/250*C10</f>
        <v>8</v>
      </c>
      <c r="G10" s="145">
        <f>88/250*C10</f>
        <v>70.399999999999991</v>
      </c>
      <c r="H10" s="3"/>
      <c r="I10" s="3"/>
      <c r="J10" s="2"/>
      <c r="K10" s="10"/>
    </row>
    <row r="11" spans="1:11" x14ac:dyDescent="0.25">
      <c r="A11" s="139" t="s">
        <v>33</v>
      </c>
      <c r="B11" s="143" t="s">
        <v>32</v>
      </c>
      <c r="C11" s="139">
        <v>150</v>
      </c>
      <c r="D11" s="140">
        <f>C11*9.5/100</f>
        <v>14.25</v>
      </c>
      <c r="E11" s="140">
        <f>C11*10.1/100</f>
        <v>15.15</v>
      </c>
      <c r="F11" s="140">
        <f>C11*23.5/100</f>
        <v>35.25</v>
      </c>
      <c r="G11" s="140">
        <f>F11*4+E11*9+D11*4</f>
        <v>334.35</v>
      </c>
      <c r="H11" s="3"/>
      <c r="I11" s="3"/>
      <c r="J11" s="2"/>
      <c r="K11" s="1"/>
    </row>
    <row r="12" spans="1:11" x14ac:dyDescent="0.25">
      <c r="A12" s="118" t="s">
        <v>66</v>
      </c>
      <c r="B12" s="117" t="s">
        <v>67</v>
      </c>
      <c r="C12" s="118">
        <v>100</v>
      </c>
      <c r="D12" s="147">
        <f>7.11/100*C12</f>
        <v>7.1099999999999994</v>
      </c>
      <c r="E12" s="147">
        <f>10.8/100*C12</f>
        <v>10.8</v>
      </c>
      <c r="F12" s="147">
        <f>12.39/100*C12</f>
        <v>12.39</v>
      </c>
      <c r="G12" s="147">
        <f>332.94/100*C12</f>
        <v>332.94</v>
      </c>
      <c r="H12" s="3"/>
      <c r="I12" s="3"/>
      <c r="J12" s="2"/>
      <c r="K12" s="1"/>
    </row>
    <row r="13" spans="1:11" s="198" customFormat="1" x14ac:dyDescent="0.25">
      <c r="A13" s="197"/>
      <c r="B13" s="196" t="s">
        <v>97</v>
      </c>
      <c r="C13" s="197">
        <v>100</v>
      </c>
      <c r="D13" s="147">
        <v>0.4</v>
      </c>
      <c r="E13" s="147">
        <v>0</v>
      </c>
      <c r="F13" s="147">
        <v>11.3</v>
      </c>
      <c r="G13" s="147">
        <v>46</v>
      </c>
      <c r="H13" s="201"/>
      <c r="I13" s="201"/>
      <c r="J13" s="200"/>
      <c r="K13" s="199"/>
    </row>
    <row r="14" spans="1:11" s="198" customFormat="1" x14ac:dyDescent="0.25">
      <c r="A14" s="197"/>
      <c r="B14" s="196" t="s">
        <v>99</v>
      </c>
      <c r="C14" s="197">
        <v>200</v>
      </c>
      <c r="D14" s="147">
        <v>0</v>
      </c>
      <c r="E14" s="147">
        <v>0</v>
      </c>
      <c r="F14" s="147">
        <v>10</v>
      </c>
      <c r="G14" s="147">
        <v>45</v>
      </c>
      <c r="H14" s="201"/>
      <c r="I14" s="201"/>
      <c r="J14" s="200"/>
      <c r="K14" s="199"/>
    </row>
    <row r="15" spans="1:11" x14ac:dyDescent="0.25">
      <c r="A15" s="139"/>
      <c r="B15" s="138" t="s">
        <v>13</v>
      </c>
      <c r="C15" s="139">
        <v>50</v>
      </c>
      <c r="D15" s="139">
        <f>C15*6.6/100</f>
        <v>3.3</v>
      </c>
      <c r="E15" s="139">
        <f>C15*1.1/100</f>
        <v>0.55000000000000004</v>
      </c>
      <c r="F15" s="139">
        <f>C15*43.9/100</f>
        <v>21.95</v>
      </c>
      <c r="G15" s="139">
        <f t="shared" ref="G15" si="0">F15*4+E15*9+D15*4</f>
        <v>105.95</v>
      </c>
      <c r="H15" s="3"/>
      <c r="I15" s="3"/>
      <c r="J15" s="2"/>
      <c r="K15" s="1"/>
    </row>
    <row r="16" spans="1:11" x14ac:dyDescent="0.25">
      <c r="A16" s="139" t="s">
        <v>22</v>
      </c>
      <c r="B16" s="138" t="s">
        <v>21</v>
      </c>
      <c r="C16" s="139">
        <v>200</v>
      </c>
      <c r="D16" s="140">
        <f>0.3/200*C16</f>
        <v>0.3</v>
      </c>
      <c r="E16" s="148">
        <f>0/200*C16</f>
        <v>0</v>
      </c>
      <c r="F16" s="140">
        <f>15.2/200*C16</f>
        <v>15.2</v>
      </c>
      <c r="G16" s="140">
        <f t="shared" ref="G16" si="1">F16*4+E16*9+D16*4</f>
        <v>62</v>
      </c>
      <c r="H16" s="3"/>
      <c r="I16" s="3"/>
      <c r="J16" s="2"/>
      <c r="K16" s="1"/>
    </row>
    <row r="17" spans="1:11" x14ac:dyDescent="0.25">
      <c r="A17" s="221" t="s">
        <v>19</v>
      </c>
      <c r="B17" s="222"/>
      <c r="C17" s="141">
        <f>SUM(C10:C16)</f>
        <v>1000</v>
      </c>
      <c r="D17" s="141">
        <f>SUM(D10:D16)</f>
        <v>27.28</v>
      </c>
      <c r="E17" s="142">
        <f>SUM(E10:E16)</f>
        <v>29.94</v>
      </c>
      <c r="F17" s="141">
        <f>SUM(F10:F16)</f>
        <v>114.09</v>
      </c>
      <c r="G17" s="142">
        <f>SUM(G10:G16)</f>
        <v>996.6400000000001</v>
      </c>
      <c r="H17" s="3"/>
      <c r="I17" s="3"/>
      <c r="J17" s="2"/>
      <c r="K17" s="1"/>
    </row>
    <row r="18" spans="1:11" x14ac:dyDescent="0.25">
      <c r="A18" s="205"/>
      <c r="B18" s="206"/>
      <c r="C18" s="206"/>
      <c r="D18" s="206"/>
      <c r="E18" s="206"/>
      <c r="F18" s="206"/>
      <c r="G18" s="206"/>
      <c r="H18" s="3"/>
      <c r="I18" s="3"/>
      <c r="J18" s="2"/>
      <c r="K18" s="1"/>
    </row>
    <row r="19" spans="1:11" x14ac:dyDescent="0.25">
      <c r="A19" s="207" t="s">
        <v>17</v>
      </c>
      <c r="B19" s="208"/>
      <c r="C19" s="18"/>
      <c r="D19" s="22">
        <f>D8+D17</f>
        <v>43.051000000000002</v>
      </c>
      <c r="E19" s="22">
        <f>E8+E17</f>
        <v>44.290999999999997</v>
      </c>
      <c r="F19" s="22">
        <f>F8+F17</f>
        <v>190.44900000000001</v>
      </c>
      <c r="G19" s="22">
        <f>G8+G17</f>
        <v>1461.38</v>
      </c>
      <c r="H19" s="3"/>
      <c r="I19" s="3"/>
      <c r="J19" s="2"/>
      <c r="K19" s="1"/>
    </row>
  </sheetData>
  <mergeCells count="13">
    <mergeCell ref="D2:G2"/>
    <mergeCell ref="D1:G1"/>
    <mergeCell ref="A1:C1"/>
    <mergeCell ref="A19:B19"/>
    <mergeCell ref="A3:A4"/>
    <mergeCell ref="B3:B4"/>
    <mergeCell ref="C3:C4"/>
    <mergeCell ref="D3:F3"/>
    <mergeCell ref="A8:B8"/>
    <mergeCell ref="A9:G9"/>
    <mergeCell ref="A17:B17"/>
    <mergeCell ref="A18:G18"/>
    <mergeCell ref="G3:G4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view="pageBreakPreview" zoomScaleNormal="110" zoomScaleSheetLayoutView="100" workbookViewId="0">
      <selection activeCell="L6" sqref="L6"/>
    </sheetView>
  </sheetViews>
  <sheetFormatPr defaultRowHeight="15" x14ac:dyDescent="0.25"/>
  <cols>
    <col min="1" max="1" width="9.85546875" customWidth="1"/>
    <col min="2" max="2" width="38.5703125" customWidth="1"/>
    <col min="3" max="3" width="8" customWidth="1"/>
    <col min="4" max="4" width="7.7109375" customWidth="1"/>
    <col min="5" max="5" width="7" customWidth="1"/>
    <col min="6" max="6" width="10.42578125" bestFit="1" customWidth="1"/>
    <col min="7" max="7" width="8.7109375" customWidth="1"/>
  </cols>
  <sheetData>
    <row r="1" spans="1:24" ht="15.75" x14ac:dyDescent="0.25">
      <c r="A1" s="211"/>
      <c r="B1" s="211"/>
      <c r="C1" s="211"/>
      <c r="D1" s="212"/>
      <c r="E1" s="212"/>
      <c r="F1" s="212"/>
      <c r="G1" s="212"/>
    </row>
    <row r="2" spans="1:24" ht="15.75" x14ac:dyDescent="0.25">
      <c r="A2" s="153" t="s">
        <v>85</v>
      </c>
      <c r="B2" s="153"/>
      <c r="C2" s="69"/>
      <c r="D2" s="213" t="s">
        <v>50</v>
      </c>
      <c r="E2" s="213"/>
      <c r="F2" s="213"/>
      <c r="G2" s="213"/>
    </row>
    <row r="3" spans="1:24" ht="15" customHeight="1" x14ac:dyDescent="0.25">
      <c r="A3" s="224" t="s">
        <v>0</v>
      </c>
      <c r="B3" s="224" t="s">
        <v>1</v>
      </c>
      <c r="C3" s="226" t="s">
        <v>2</v>
      </c>
      <c r="D3" s="207" t="s">
        <v>6</v>
      </c>
      <c r="E3" s="209"/>
      <c r="F3" s="208"/>
      <c r="G3" s="216" t="s">
        <v>61</v>
      </c>
    </row>
    <row r="4" spans="1:24" x14ac:dyDescent="0.25">
      <c r="A4" s="225"/>
      <c r="B4" s="225"/>
      <c r="C4" s="227"/>
      <c r="D4" s="21" t="s">
        <v>3</v>
      </c>
      <c r="E4" s="21" t="s">
        <v>4</v>
      </c>
      <c r="F4" s="21" t="s">
        <v>5</v>
      </c>
      <c r="G4" s="217"/>
    </row>
    <row r="5" spans="1:24" x14ac:dyDescent="0.25">
      <c r="A5" s="15"/>
      <c r="B5" s="16"/>
      <c r="C5" s="16"/>
      <c r="D5" s="16"/>
      <c r="E5" s="16"/>
      <c r="F5" s="17" t="s">
        <v>8</v>
      </c>
      <c r="G5" s="16"/>
      <c r="H5" s="2"/>
      <c r="I5" s="2"/>
      <c r="J5" s="2"/>
      <c r="K5" s="1"/>
    </row>
    <row r="6" spans="1:24" ht="29.25" customHeight="1" x14ac:dyDescent="0.25">
      <c r="A6" s="149">
        <v>125</v>
      </c>
      <c r="B6" s="82" t="s">
        <v>79</v>
      </c>
      <c r="C6" s="81">
        <v>150</v>
      </c>
      <c r="D6" s="81">
        <f>4.4/150*C6</f>
        <v>4.4000000000000004</v>
      </c>
      <c r="E6" s="81">
        <f>6.3/150*C6</f>
        <v>6.2999999999999989</v>
      </c>
      <c r="F6" s="81">
        <f>21.8/150*C6</f>
        <v>21.8</v>
      </c>
      <c r="G6" s="81">
        <f>157.2/150*C6</f>
        <v>157.19999999999996</v>
      </c>
      <c r="H6" s="3"/>
      <c r="I6" s="3"/>
      <c r="J6" s="2"/>
      <c r="K6" s="1"/>
    </row>
    <row r="7" spans="1:24" s="29" customFormat="1" x14ac:dyDescent="0.25">
      <c r="A7" s="36" t="s">
        <v>68</v>
      </c>
      <c r="B7" s="66" t="s">
        <v>13</v>
      </c>
      <c r="C7" s="65">
        <v>30</v>
      </c>
      <c r="D7" s="202">
        <f>C7*6.6/100</f>
        <v>1.98</v>
      </c>
      <c r="E7" s="202">
        <f>C7*1.1/100</f>
        <v>0.33</v>
      </c>
      <c r="F7" s="202">
        <f>C7*43.9/100</f>
        <v>13.17</v>
      </c>
      <c r="G7" s="202">
        <f t="shared" ref="G7" si="0">F7*4+E7*9+D7*4</f>
        <v>63.57</v>
      </c>
      <c r="H7" s="88"/>
      <c r="I7" s="88"/>
      <c r="J7" s="87"/>
      <c r="K7" s="86"/>
      <c r="L7" s="86"/>
      <c r="M7" s="86"/>
      <c r="N7" s="86"/>
      <c r="O7" s="86"/>
      <c r="P7" s="86"/>
      <c r="Q7" s="86"/>
      <c r="R7" s="86"/>
      <c r="S7" s="95"/>
    </row>
    <row r="8" spans="1:24" x14ac:dyDescent="0.25">
      <c r="A8" s="32" t="s">
        <v>35</v>
      </c>
      <c r="B8" s="35" t="s">
        <v>24</v>
      </c>
      <c r="C8" s="32">
        <v>200</v>
      </c>
      <c r="D8" s="33">
        <f>0.2/200*C8</f>
        <v>0.2</v>
      </c>
      <c r="E8" s="34">
        <f>0/200*C8</f>
        <v>0</v>
      </c>
      <c r="F8" s="33">
        <f>14/200*C8</f>
        <v>14.000000000000002</v>
      </c>
      <c r="G8" s="33">
        <f>F8*4+E8*9+D8*4</f>
        <v>56.800000000000004</v>
      </c>
      <c r="H8" s="3"/>
      <c r="I8" s="3"/>
      <c r="J8" s="2"/>
      <c r="K8" s="1"/>
    </row>
    <row r="9" spans="1:24" x14ac:dyDescent="0.25">
      <c r="A9" s="207" t="s">
        <v>18</v>
      </c>
      <c r="B9" s="208"/>
      <c r="C9" s="21">
        <f>SUM(C6:C8)</f>
        <v>380</v>
      </c>
      <c r="D9" s="151">
        <f>SUM(D6:D8)</f>
        <v>6.580000000000001</v>
      </c>
      <c r="E9" s="151">
        <f>SUM(E6:E8)</f>
        <v>6.629999999999999</v>
      </c>
      <c r="F9" s="151">
        <f>SUM(F6:F8)</f>
        <v>48.97</v>
      </c>
      <c r="G9" s="151">
        <f>SUM(G6:G8)</f>
        <v>277.56999999999994</v>
      </c>
      <c r="H9" s="3"/>
      <c r="I9" s="3"/>
      <c r="J9" s="2" t="s">
        <v>7</v>
      </c>
      <c r="K9" s="1"/>
    </row>
    <row r="10" spans="1:24" ht="18" customHeight="1" x14ac:dyDescent="0.25">
      <c r="A10" s="207" t="s">
        <v>9</v>
      </c>
      <c r="B10" s="209"/>
      <c r="C10" s="209"/>
      <c r="D10" s="209"/>
      <c r="E10" s="209"/>
      <c r="F10" s="209"/>
      <c r="G10" s="209"/>
      <c r="H10" s="3"/>
      <c r="I10" s="3"/>
      <c r="J10" s="2"/>
      <c r="K10" s="1"/>
    </row>
    <row r="11" spans="1:24" ht="25.5" x14ac:dyDescent="0.25">
      <c r="A11" s="121" t="s">
        <v>80</v>
      </c>
      <c r="B11" s="112" t="s">
        <v>81</v>
      </c>
      <c r="C11" s="121">
        <v>200</v>
      </c>
      <c r="D11" s="122">
        <f>3.75/250*C11</f>
        <v>3</v>
      </c>
      <c r="E11" s="122">
        <f>2.5/250*C11</f>
        <v>2</v>
      </c>
      <c r="F11" s="122">
        <f>21/250*C11</f>
        <v>16.8</v>
      </c>
      <c r="G11" s="122">
        <f>120/250*C11</f>
        <v>96</v>
      </c>
      <c r="H11" s="3"/>
      <c r="I11" s="3"/>
      <c r="J11" s="2"/>
      <c r="K11" s="1"/>
    </row>
    <row r="12" spans="1:24" x14ac:dyDescent="0.25">
      <c r="A12" s="113" t="s">
        <v>93</v>
      </c>
      <c r="B12" s="27" t="s">
        <v>58</v>
      </c>
      <c r="C12" s="113">
        <v>180</v>
      </c>
      <c r="D12" s="150">
        <v>8.9</v>
      </c>
      <c r="E12" s="150">
        <v>4.9000000000000004</v>
      </c>
      <c r="F12" s="150">
        <v>10.8</v>
      </c>
      <c r="G12" s="150">
        <v>123</v>
      </c>
      <c r="H12" s="3"/>
      <c r="I12" s="3"/>
      <c r="J12" s="99"/>
      <c r="K12" s="99"/>
      <c r="L12" s="100"/>
      <c r="M12" s="7"/>
      <c r="N12" s="7"/>
      <c r="O12" s="7"/>
      <c r="P12" s="100"/>
      <c r="Q12" s="7"/>
      <c r="R12" s="7"/>
      <c r="S12" s="7"/>
      <c r="T12" s="7"/>
      <c r="U12" s="7"/>
      <c r="V12" s="7"/>
      <c r="W12" s="7"/>
      <c r="X12" s="7"/>
    </row>
    <row r="13" spans="1:24" x14ac:dyDescent="0.25">
      <c r="A13" s="18"/>
      <c r="B13" s="19" t="s">
        <v>13</v>
      </c>
      <c r="C13" s="18">
        <v>50</v>
      </c>
      <c r="D13" s="18">
        <f>C13*6.6/100</f>
        <v>3.3</v>
      </c>
      <c r="E13" s="18">
        <f>C13*1.1/100</f>
        <v>0.55000000000000004</v>
      </c>
      <c r="F13" s="18">
        <f>C13*43.9/100</f>
        <v>21.95</v>
      </c>
      <c r="G13" s="18">
        <f t="shared" ref="G13" si="1">F13*4+E13*9+D13*4</f>
        <v>105.95</v>
      </c>
      <c r="H13" s="3"/>
      <c r="I13" s="3"/>
      <c r="J13" s="2"/>
      <c r="K13" s="1"/>
    </row>
    <row r="14" spans="1:24" x14ac:dyDescent="0.25">
      <c r="A14" s="121" t="s">
        <v>26</v>
      </c>
      <c r="B14" s="120" t="s">
        <v>14</v>
      </c>
      <c r="C14" s="121">
        <v>200</v>
      </c>
      <c r="D14" s="122">
        <f>0.6/200*C14</f>
        <v>0.6</v>
      </c>
      <c r="E14" s="123">
        <f>0/200*C14</f>
        <v>0</v>
      </c>
      <c r="F14" s="122">
        <f>31.4/200*C14</f>
        <v>31.4</v>
      </c>
      <c r="G14" s="123">
        <f>128/200*C14</f>
        <v>128</v>
      </c>
      <c r="H14" s="3"/>
      <c r="I14" s="3"/>
      <c r="J14" s="2"/>
      <c r="K14" s="1"/>
    </row>
    <row r="15" spans="1:24" x14ac:dyDescent="0.25">
      <c r="A15" s="207" t="s">
        <v>19</v>
      </c>
      <c r="B15" s="208"/>
      <c r="C15" s="73">
        <f>SUM(C11:C14)</f>
        <v>630</v>
      </c>
      <c r="D15" s="22">
        <f>SUM(D11:D14)</f>
        <v>15.799999999999999</v>
      </c>
      <c r="E15" s="22">
        <f>SUM(E11:E14)</f>
        <v>7.45</v>
      </c>
      <c r="F15" s="22">
        <f>SUM(F11:F14)</f>
        <v>80.949999999999989</v>
      </c>
      <c r="G15" s="22">
        <f>SUM(G11:G14)</f>
        <v>452.95</v>
      </c>
      <c r="H15" s="3"/>
      <c r="I15" s="3"/>
      <c r="J15" s="2"/>
      <c r="K15" s="1"/>
    </row>
    <row r="16" spans="1:24" x14ac:dyDescent="0.25">
      <c r="A16" s="205"/>
      <c r="B16" s="206"/>
      <c r="C16" s="206"/>
      <c r="D16" s="206"/>
      <c r="E16" s="206"/>
      <c r="F16" s="206"/>
      <c r="G16" s="206"/>
      <c r="H16" s="3"/>
      <c r="I16" s="3"/>
      <c r="J16" s="2"/>
      <c r="K16" s="1"/>
    </row>
    <row r="17" spans="1:11" x14ac:dyDescent="0.25">
      <c r="A17" s="207" t="s">
        <v>17</v>
      </c>
      <c r="B17" s="208"/>
      <c r="C17" s="18"/>
      <c r="D17" s="22">
        <f>D9+D15</f>
        <v>22.38</v>
      </c>
      <c r="E17" s="22">
        <f>E9+E15</f>
        <v>14.079999999999998</v>
      </c>
      <c r="F17" s="22">
        <f>F9+F15</f>
        <v>129.91999999999999</v>
      </c>
      <c r="G17" s="21">
        <f>G9+G15</f>
        <v>730.52</v>
      </c>
      <c r="H17" s="3"/>
      <c r="I17" s="3"/>
      <c r="J17" s="2"/>
      <c r="K17" s="1"/>
    </row>
    <row r="28" spans="1:11" x14ac:dyDescent="0.25">
      <c r="G28" s="152"/>
    </row>
  </sheetData>
  <mergeCells count="13">
    <mergeCell ref="A1:C1"/>
    <mergeCell ref="D1:G1"/>
    <mergeCell ref="D2:G2"/>
    <mergeCell ref="A3:A4"/>
    <mergeCell ref="B3:B4"/>
    <mergeCell ref="C3:C4"/>
    <mergeCell ref="D3:F3"/>
    <mergeCell ref="G3:G4"/>
    <mergeCell ref="A9:B9"/>
    <mergeCell ref="A10:G10"/>
    <mergeCell ref="A15:B15"/>
    <mergeCell ref="A16:G16"/>
    <mergeCell ref="A17:B17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Q22"/>
  <sheetViews>
    <sheetView view="pageBreakPreview" zoomScaleNormal="110" zoomScaleSheetLayoutView="100" workbookViewId="0">
      <selection activeCell="D7" sqref="D7:G7"/>
    </sheetView>
  </sheetViews>
  <sheetFormatPr defaultRowHeight="15" x14ac:dyDescent="0.25"/>
  <cols>
    <col min="1" max="1" width="9.85546875" customWidth="1"/>
    <col min="2" max="2" width="26.42578125" customWidth="1"/>
    <col min="3" max="3" width="6.85546875" customWidth="1"/>
    <col min="4" max="4" width="7.7109375" customWidth="1"/>
    <col min="5" max="5" width="7" customWidth="1"/>
    <col min="7" max="7" width="8.5703125" customWidth="1"/>
  </cols>
  <sheetData>
    <row r="1" spans="1:433" ht="15.75" x14ac:dyDescent="0.25">
      <c r="A1" s="211"/>
      <c r="B1" s="211"/>
      <c r="C1" s="211"/>
      <c r="D1" s="212"/>
      <c r="E1" s="212"/>
      <c r="F1" s="212"/>
      <c r="G1" s="212"/>
    </row>
    <row r="2" spans="1:433" ht="15.75" x14ac:dyDescent="0.25">
      <c r="A2" s="153" t="s">
        <v>85</v>
      </c>
      <c r="B2" s="153"/>
      <c r="C2" s="69"/>
      <c r="D2" s="213" t="s">
        <v>53</v>
      </c>
      <c r="E2" s="213"/>
      <c r="F2" s="213"/>
      <c r="G2" s="213"/>
    </row>
    <row r="3" spans="1:433" ht="15" customHeight="1" x14ac:dyDescent="0.25">
      <c r="A3" s="214" t="s">
        <v>0</v>
      </c>
      <c r="B3" s="214" t="s">
        <v>1</v>
      </c>
      <c r="C3" s="216" t="s">
        <v>2</v>
      </c>
      <c r="D3" s="218" t="s">
        <v>6</v>
      </c>
      <c r="E3" s="219"/>
      <c r="F3" s="220"/>
      <c r="G3" s="216" t="s">
        <v>61</v>
      </c>
    </row>
    <row r="4" spans="1:433" x14ac:dyDescent="0.25">
      <c r="A4" s="215"/>
      <c r="B4" s="215"/>
      <c r="C4" s="217"/>
      <c r="D4" s="14" t="s">
        <v>3</v>
      </c>
      <c r="E4" s="14" t="s">
        <v>4</v>
      </c>
      <c r="F4" s="14" t="s">
        <v>5</v>
      </c>
      <c r="G4" s="217"/>
    </row>
    <row r="5" spans="1:433" ht="18" customHeight="1" x14ac:dyDescent="0.25">
      <c r="A5" s="15"/>
      <c r="B5" s="16"/>
      <c r="C5" s="16"/>
      <c r="D5" s="16"/>
      <c r="E5" s="16"/>
      <c r="F5" s="17" t="s">
        <v>8</v>
      </c>
      <c r="G5" s="16"/>
      <c r="H5" s="2"/>
      <c r="I5" s="2"/>
      <c r="J5" s="2"/>
      <c r="K5" s="1"/>
    </row>
    <row r="6" spans="1:433" ht="25.5" x14ac:dyDescent="0.25">
      <c r="A6" s="85" t="s">
        <v>28</v>
      </c>
      <c r="B6" s="126" t="s">
        <v>27</v>
      </c>
      <c r="C6" s="85">
        <v>150</v>
      </c>
      <c r="D6" s="85">
        <f>5.1/150*C6</f>
        <v>5.0999999999999996</v>
      </c>
      <c r="E6" s="84">
        <f>6.75/150*C6</f>
        <v>6.75</v>
      </c>
      <c r="F6" s="84">
        <f>24.9/150*C6</f>
        <v>24.9</v>
      </c>
      <c r="G6" s="84">
        <f>100.8/150*C6</f>
        <v>100.79999999999998</v>
      </c>
      <c r="H6" s="2"/>
      <c r="I6" s="2"/>
      <c r="J6" s="2"/>
      <c r="K6" s="1"/>
    </row>
    <row r="7" spans="1:433" x14ac:dyDescent="0.25">
      <c r="A7" s="185" t="s">
        <v>68</v>
      </c>
      <c r="B7" s="184" t="s">
        <v>13</v>
      </c>
      <c r="C7" s="183">
        <v>30</v>
      </c>
      <c r="D7" s="202">
        <f>C7*6.6/100</f>
        <v>1.98</v>
      </c>
      <c r="E7" s="202">
        <f>C7*1.1/100</f>
        <v>0.33</v>
      </c>
      <c r="F7" s="202">
        <f>C7*43.9/100</f>
        <v>13.17</v>
      </c>
      <c r="G7" s="202">
        <f t="shared" ref="G7" si="0">F7*4+E7*9+D7*4</f>
        <v>63.57</v>
      </c>
      <c r="H7" s="3"/>
      <c r="I7" s="3"/>
      <c r="J7" s="2"/>
      <c r="K7" s="1"/>
    </row>
    <row r="8" spans="1:433" x14ac:dyDescent="0.25">
      <c r="A8" s="121" t="s">
        <v>25</v>
      </c>
      <c r="B8" s="120" t="s">
        <v>23</v>
      </c>
      <c r="C8" s="121">
        <v>200</v>
      </c>
      <c r="D8" s="122">
        <f>2.9*C8/100</f>
        <v>5.8</v>
      </c>
      <c r="E8" s="122">
        <f>2*C8/100</f>
        <v>4</v>
      </c>
      <c r="F8" s="122">
        <f>32.5*C8/100</f>
        <v>65</v>
      </c>
      <c r="G8" s="122">
        <f>194.6*C8/100</f>
        <v>389.2</v>
      </c>
      <c r="H8" s="3"/>
      <c r="I8" s="3"/>
      <c r="J8" s="2"/>
      <c r="K8" s="1"/>
    </row>
    <row r="9" spans="1:433" x14ac:dyDescent="0.25">
      <c r="A9" s="207" t="s">
        <v>18</v>
      </c>
      <c r="B9" s="208"/>
      <c r="C9" s="21">
        <f>SUM(C6:C8)</f>
        <v>380</v>
      </c>
      <c r="D9" s="21">
        <f>SUM(D6:D8)</f>
        <v>12.879999999999999</v>
      </c>
      <c r="E9" s="21">
        <f>SUM(E6:E8)</f>
        <v>11.08</v>
      </c>
      <c r="F9" s="22">
        <f>SUM(F6:F8)</f>
        <v>103.07</v>
      </c>
      <c r="G9" s="21">
        <f>SUM(G6:G8)</f>
        <v>553.56999999999994</v>
      </c>
      <c r="H9" s="3"/>
      <c r="I9" s="3"/>
      <c r="J9" s="2"/>
      <c r="K9" s="1"/>
    </row>
    <row r="10" spans="1:433" x14ac:dyDescent="0.25">
      <c r="A10" s="207" t="s">
        <v>9</v>
      </c>
      <c r="B10" s="209"/>
      <c r="C10" s="209"/>
      <c r="D10" s="209"/>
      <c r="E10" s="209"/>
      <c r="F10" s="209"/>
      <c r="G10" s="209"/>
      <c r="H10" s="3"/>
      <c r="I10" s="3"/>
      <c r="J10" s="2"/>
      <c r="K10" s="1"/>
    </row>
    <row r="11" spans="1:433" x14ac:dyDescent="0.25">
      <c r="A11" s="30" t="s">
        <v>29</v>
      </c>
      <c r="B11" s="112" t="s">
        <v>75</v>
      </c>
      <c r="C11" s="30">
        <v>200</v>
      </c>
      <c r="D11" s="31">
        <f>C11*1.17/100</f>
        <v>2.34</v>
      </c>
      <c r="E11" s="31">
        <f>C11*4.05/100</f>
        <v>8.1</v>
      </c>
      <c r="F11" s="31">
        <f>C11*6.94/100</f>
        <v>13.88</v>
      </c>
      <c r="G11" s="31">
        <f t="shared" ref="G11:G14" si="1">F11*4+E11*9+D11*4</f>
        <v>137.77999999999997</v>
      </c>
      <c r="H11" s="3"/>
      <c r="I11" s="3"/>
      <c r="J11" s="2"/>
      <c r="K11" s="1"/>
    </row>
    <row r="12" spans="1:433" s="29" customFormat="1" x14ac:dyDescent="0.25">
      <c r="A12" s="18" t="s">
        <v>12</v>
      </c>
      <c r="B12" s="19" t="s">
        <v>11</v>
      </c>
      <c r="C12" s="24">
        <v>150</v>
      </c>
      <c r="D12" s="20">
        <f>C12*2.1/100</f>
        <v>3.15</v>
      </c>
      <c r="E12" s="20">
        <f>C12*4.5/100</f>
        <v>6.75</v>
      </c>
      <c r="F12" s="20">
        <f>C12*14.6/100</f>
        <v>21.9</v>
      </c>
      <c r="G12" s="20">
        <f>F12*4+E12*9+D12*4</f>
        <v>160.94999999999999</v>
      </c>
      <c r="H12" s="88"/>
      <c r="I12" s="88"/>
      <c r="J12" s="87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  <c r="JC12" s="86"/>
      <c r="JD12" s="86"/>
      <c r="JE12" s="86"/>
      <c r="JF12" s="86"/>
      <c r="JG12" s="86"/>
      <c r="JH12" s="86"/>
      <c r="JI12" s="86"/>
      <c r="JJ12" s="86"/>
      <c r="JK12" s="86"/>
      <c r="JL12" s="86"/>
      <c r="JM12" s="86"/>
      <c r="JN12" s="86"/>
      <c r="JO12" s="86"/>
      <c r="JP12" s="86"/>
      <c r="JQ12" s="86"/>
      <c r="JR12" s="86"/>
      <c r="JS12" s="86"/>
      <c r="JT12" s="86"/>
      <c r="JU12" s="86"/>
      <c r="JV12" s="86"/>
      <c r="JW12" s="86"/>
      <c r="JX12" s="86"/>
      <c r="JY12" s="86"/>
      <c r="JZ12" s="86"/>
      <c r="KA12" s="86"/>
      <c r="KB12" s="86"/>
      <c r="KC12" s="86"/>
      <c r="KD12" s="86"/>
      <c r="KE12" s="86"/>
      <c r="KF12" s="86"/>
      <c r="KG12" s="86"/>
      <c r="KH12" s="86"/>
      <c r="KI12" s="86"/>
      <c r="KJ12" s="86"/>
      <c r="KK12" s="86"/>
      <c r="KL12" s="86"/>
      <c r="KM12" s="86"/>
      <c r="KN12" s="86"/>
      <c r="KO12" s="86"/>
      <c r="KP12" s="86"/>
      <c r="KQ12" s="86"/>
      <c r="KR12" s="86"/>
      <c r="KS12" s="86"/>
      <c r="KT12" s="86"/>
      <c r="KU12" s="86"/>
      <c r="KV12" s="86"/>
      <c r="KW12" s="86"/>
      <c r="KX12" s="86"/>
      <c r="KY12" s="86"/>
      <c r="KZ12" s="86"/>
      <c r="LA12" s="86"/>
      <c r="LB12" s="86"/>
      <c r="LC12" s="86"/>
      <c r="LD12" s="86"/>
      <c r="LE12" s="86"/>
      <c r="LF12" s="86"/>
      <c r="LG12" s="86"/>
      <c r="LH12" s="86"/>
      <c r="LI12" s="86"/>
      <c r="LJ12" s="86"/>
      <c r="LK12" s="86"/>
      <c r="LL12" s="86"/>
      <c r="LM12" s="86"/>
      <c r="LN12" s="86"/>
      <c r="LO12" s="86"/>
      <c r="LP12" s="86"/>
      <c r="LQ12" s="86"/>
      <c r="LR12" s="86"/>
      <c r="LS12" s="86"/>
      <c r="LT12" s="86"/>
      <c r="LU12" s="86"/>
      <c r="LV12" s="86"/>
      <c r="LW12" s="86"/>
      <c r="LX12" s="86"/>
      <c r="LY12" s="86"/>
      <c r="LZ12" s="86"/>
      <c r="MA12" s="86"/>
      <c r="MB12" s="86"/>
      <c r="MC12" s="86"/>
      <c r="MD12" s="86"/>
      <c r="ME12" s="86"/>
      <c r="MF12" s="86"/>
      <c r="MG12" s="86"/>
      <c r="MH12" s="86"/>
      <c r="MI12" s="86"/>
      <c r="MJ12" s="86"/>
      <c r="MK12" s="86"/>
      <c r="ML12" s="86"/>
      <c r="MM12" s="86"/>
      <c r="MN12" s="86"/>
      <c r="MO12" s="86"/>
      <c r="MP12" s="86"/>
      <c r="MQ12" s="86"/>
      <c r="MR12" s="86"/>
      <c r="MS12" s="86"/>
      <c r="MT12" s="86"/>
      <c r="MU12" s="86"/>
      <c r="MV12" s="86"/>
      <c r="MW12" s="86"/>
      <c r="MX12" s="86"/>
      <c r="MY12" s="86"/>
      <c r="MZ12" s="86"/>
      <c r="NA12" s="86"/>
      <c r="NB12" s="86"/>
      <c r="NC12" s="86"/>
      <c r="ND12" s="86"/>
      <c r="NE12" s="86"/>
      <c r="NF12" s="86"/>
      <c r="NG12" s="86"/>
      <c r="NH12" s="86"/>
      <c r="NI12" s="86"/>
      <c r="NJ12" s="86"/>
      <c r="NK12" s="86"/>
      <c r="NL12" s="86"/>
      <c r="NM12" s="86"/>
      <c r="NN12" s="86"/>
      <c r="NO12" s="86"/>
      <c r="NP12" s="86"/>
      <c r="NQ12" s="86"/>
      <c r="NR12" s="86"/>
      <c r="NS12" s="86"/>
      <c r="NT12" s="86"/>
      <c r="NU12" s="86"/>
      <c r="NV12" s="86"/>
      <c r="NW12" s="86"/>
      <c r="NX12" s="86"/>
      <c r="NY12" s="86"/>
      <c r="NZ12" s="86"/>
      <c r="OA12" s="86"/>
      <c r="OB12" s="86"/>
      <c r="OC12" s="86"/>
      <c r="OD12" s="86"/>
      <c r="OE12" s="86"/>
      <c r="OF12" s="86"/>
      <c r="OG12" s="86"/>
      <c r="OH12" s="86"/>
      <c r="OI12" s="86"/>
      <c r="OJ12" s="86"/>
      <c r="OK12" s="86"/>
      <c r="OL12" s="86"/>
      <c r="OM12" s="86"/>
      <c r="ON12" s="86"/>
      <c r="OO12" s="86"/>
      <c r="OP12" s="86"/>
      <c r="OQ12" s="86"/>
      <c r="OR12" s="86"/>
      <c r="OS12" s="86"/>
      <c r="OT12" s="86"/>
      <c r="OU12" s="86"/>
      <c r="OV12" s="86"/>
      <c r="OW12" s="86"/>
      <c r="OX12" s="86"/>
      <c r="OY12" s="86"/>
      <c r="OZ12" s="86"/>
      <c r="PA12" s="86"/>
      <c r="PB12" s="86"/>
      <c r="PC12" s="86"/>
      <c r="PD12" s="86"/>
      <c r="PE12" s="86"/>
      <c r="PF12" s="86"/>
      <c r="PG12" s="86"/>
      <c r="PH12" s="86"/>
      <c r="PI12" s="86"/>
      <c r="PJ12" s="86"/>
      <c r="PK12" s="86"/>
      <c r="PL12" s="86"/>
      <c r="PM12" s="86"/>
      <c r="PN12" s="86"/>
      <c r="PO12" s="86"/>
      <c r="PP12" s="86"/>
      <c r="PQ12" s="86"/>
    </row>
    <row r="13" spans="1:433" s="86" customFormat="1" ht="16.5" customHeight="1" x14ac:dyDescent="0.25">
      <c r="A13" s="18" t="s">
        <v>93</v>
      </c>
      <c r="B13" s="179" t="s">
        <v>92</v>
      </c>
      <c r="C13" s="18">
        <v>100</v>
      </c>
      <c r="D13" s="20">
        <v>12.88</v>
      </c>
      <c r="E13" s="20">
        <v>10.199999999999999</v>
      </c>
      <c r="F13" s="20">
        <v>3.27</v>
      </c>
      <c r="G13" s="20">
        <v>156.26</v>
      </c>
      <c r="H13" s="88"/>
      <c r="I13" s="88"/>
      <c r="J13" s="87"/>
    </row>
    <row r="14" spans="1:433" x14ac:dyDescent="0.25">
      <c r="A14" s="89" t="s">
        <v>69</v>
      </c>
      <c r="B14" s="35" t="s">
        <v>13</v>
      </c>
      <c r="C14" s="32">
        <v>50</v>
      </c>
      <c r="D14" s="32">
        <f>C14*7.7/100</f>
        <v>3.85</v>
      </c>
      <c r="E14" s="33">
        <f>C14*0.8/100</f>
        <v>0.4</v>
      </c>
      <c r="F14" s="32">
        <f>C14*49.5/100</f>
        <v>24.75</v>
      </c>
      <c r="G14" s="33">
        <f t="shared" si="1"/>
        <v>118</v>
      </c>
      <c r="H14" s="3"/>
      <c r="I14" s="3"/>
      <c r="J14" s="2"/>
      <c r="K14" s="1"/>
    </row>
    <row r="15" spans="1:433" x14ac:dyDescent="0.25">
      <c r="A15" s="42" t="s">
        <v>48</v>
      </c>
      <c r="B15" s="44" t="s">
        <v>47</v>
      </c>
      <c r="C15" s="42">
        <v>200</v>
      </c>
      <c r="D15" s="43">
        <f>0.4/200*C15</f>
        <v>0.4</v>
      </c>
      <c r="E15" s="43">
        <f>0.27/200*C15</f>
        <v>0.27</v>
      </c>
      <c r="F15" s="43">
        <f>17.2/200*C15</f>
        <v>17.2</v>
      </c>
      <c r="G15" s="43">
        <f>72.83/200*C15</f>
        <v>72.83</v>
      </c>
      <c r="H15" s="3"/>
      <c r="I15" s="3"/>
      <c r="J15" s="2"/>
      <c r="K15" s="1"/>
    </row>
    <row r="16" spans="1:433" x14ac:dyDescent="0.25">
      <c r="A16" s="207" t="s">
        <v>19</v>
      </c>
      <c r="B16" s="208"/>
      <c r="C16" s="73">
        <f>SUM(C11:C15)</f>
        <v>700</v>
      </c>
      <c r="D16" s="128">
        <f>SUM(D11:D15)</f>
        <v>22.62</v>
      </c>
      <c r="E16" s="22">
        <f>SUM(E11:E15)</f>
        <v>25.719999999999995</v>
      </c>
      <c r="F16" s="128">
        <f>SUM(F11:F15)</f>
        <v>81</v>
      </c>
      <c r="G16" s="128">
        <f>SUM(G11:G15)</f>
        <v>645.82000000000005</v>
      </c>
      <c r="H16" s="3"/>
      <c r="I16" s="3"/>
      <c r="J16" s="2"/>
      <c r="K16" s="1"/>
    </row>
    <row r="17" spans="1:11" x14ac:dyDescent="0.25">
      <c r="A17" s="205"/>
      <c r="B17" s="206"/>
      <c r="C17" s="206"/>
      <c r="D17" s="206"/>
      <c r="E17" s="206"/>
      <c r="F17" s="206"/>
      <c r="G17" s="206"/>
      <c r="H17" s="3"/>
      <c r="I17" s="3"/>
      <c r="J17" s="2"/>
      <c r="K17" s="1"/>
    </row>
    <row r="18" spans="1:11" x14ac:dyDescent="0.25">
      <c r="A18" s="207" t="s">
        <v>17</v>
      </c>
      <c r="B18" s="208"/>
      <c r="C18" s="18"/>
      <c r="D18" s="22">
        <f>D9+D16</f>
        <v>35.5</v>
      </c>
      <c r="E18" s="22">
        <f>E9+E16</f>
        <v>36.799999999999997</v>
      </c>
      <c r="F18" s="22">
        <f>F9+F16</f>
        <v>184.07</v>
      </c>
      <c r="G18" s="21">
        <f>G9+G16</f>
        <v>1199.3899999999999</v>
      </c>
      <c r="H18" s="3"/>
      <c r="I18" s="3"/>
      <c r="J18" s="2"/>
      <c r="K18" s="1"/>
    </row>
    <row r="21" spans="1:11" x14ac:dyDescent="0.25">
      <c r="C21" s="75"/>
      <c r="D21" s="76"/>
      <c r="E21" s="76"/>
      <c r="F21" s="76"/>
      <c r="G21" s="76"/>
    </row>
    <row r="22" spans="1:11" x14ac:dyDescent="0.25">
      <c r="C22" s="77"/>
      <c r="D22" s="77"/>
      <c r="E22" s="77"/>
      <c r="F22" s="77"/>
      <c r="G22" s="77"/>
    </row>
  </sheetData>
  <mergeCells count="13">
    <mergeCell ref="A17:G17"/>
    <mergeCell ref="A18:B18"/>
    <mergeCell ref="A9:B9"/>
    <mergeCell ref="A1:C1"/>
    <mergeCell ref="D1:G1"/>
    <mergeCell ref="D2:G2"/>
    <mergeCell ref="A10:G10"/>
    <mergeCell ref="A16:B16"/>
    <mergeCell ref="A3:A4"/>
    <mergeCell ref="B3:B4"/>
    <mergeCell ref="C3:C4"/>
    <mergeCell ref="D3:F3"/>
    <mergeCell ref="G3:G4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Normal="110" zoomScaleSheetLayoutView="100" workbookViewId="0">
      <selection activeCell="D14" sqref="D14:G14"/>
    </sheetView>
  </sheetViews>
  <sheetFormatPr defaultRowHeight="15" x14ac:dyDescent="0.25"/>
  <cols>
    <col min="1" max="1" width="9.85546875" customWidth="1"/>
    <col min="2" max="2" width="27.140625" customWidth="1"/>
    <col min="3" max="3" width="8" customWidth="1"/>
    <col min="4" max="4" width="7.7109375" customWidth="1"/>
    <col min="5" max="5" width="7" customWidth="1"/>
    <col min="7" max="7" width="9.140625" customWidth="1"/>
  </cols>
  <sheetData>
    <row r="1" spans="1:16" ht="15.75" x14ac:dyDescent="0.25">
      <c r="A1" s="240"/>
      <c r="B1" s="240"/>
      <c r="C1" s="240"/>
      <c r="D1" s="241"/>
      <c r="E1" s="241"/>
      <c r="F1" s="241"/>
      <c r="G1" s="241"/>
      <c r="H1" s="157"/>
    </row>
    <row r="2" spans="1:16" ht="15.75" x14ac:dyDescent="0.25">
      <c r="A2" s="155" t="s">
        <v>85</v>
      </c>
      <c r="B2" s="155"/>
      <c r="C2" s="156"/>
      <c r="D2" s="242" t="s">
        <v>54</v>
      </c>
      <c r="E2" s="242"/>
      <c r="F2" s="242"/>
      <c r="G2" s="242"/>
      <c r="H2" s="157"/>
    </row>
    <row r="3" spans="1:16" ht="18" customHeight="1" x14ac:dyDescent="0.25">
      <c r="A3" s="243" t="s">
        <v>0</v>
      </c>
      <c r="B3" s="243" t="s">
        <v>1</v>
      </c>
      <c r="C3" s="235" t="s">
        <v>2</v>
      </c>
      <c r="D3" s="237" t="s">
        <v>6</v>
      </c>
      <c r="E3" s="238"/>
      <c r="F3" s="239"/>
      <c r="G3" s="235" t="s">
        <v>61</v>
      </c>
      <c r="H3" s="158"/>
      <c r="I3" s="2"/>
      <c r="J3" s="2"/>
      <c r="K3" s="1"/>
    </row>
    <row r="4" spans="1:16" x14ac:dyDescent="0.25">
      <c r="A4" s="244"/>
      <c r="B4" s="244"/>
      <c r="C4" s="236"/>
      <c r="D4" s="159" t="s">
        <v>3</v>
      </c>
      <c r="E4" s="159" t="s">
        <v>4</v>
      </c>
      <c r="F4" s="159" t="s">
        <v>5</v>
      </c>
      <c r="G4" s="236"/>
      <c r="H4" s="158"/>
      <c r="I4" s="2"/>
      <c r="J4" s="2"/>
      <c r="K4" s="1"/>
    </row>
    <row r="5" spans="1:16" x14ac:dyDescent="0.25">
      <c r="A5" s="160"/>
      <c r="B5" s="161"/>
      <c r="C5" s="161"/>
      <c r="D5" s="161"/>
      <c r="E5" s="161"/>
      <c r="F5" s="162" t="s">
        <v>8</v>
      </c>
      <c r="G5" s="161"/>
      <c r="H5" s="158"/>
      <c r="I5" s="2"/>
      <c r="J5" s="2"/>
      <c r="K5" s="1"/>
    </row>
    <row r="6" spans="1:16" s="47" customFormat="1" x14ac:dyDescent="0.25">
      <c r="A6" s="160"/>
      <c r="B6" s="163"/>
      <c r="C6" s="164"/>
      <c r="D6" s="164"/>
      <c r="E6" s="164"/>
      <c r="F6" s="164"/>
      <c r="G6" s="164"/>
      <c r="H6" s="158"/>
      <c r="I6" s="49"/>
      <c r="J6" s="49"/>
      <c r="K6" s="48"/>
    </row>
    <row r="7" spans="1:16" ht="25.5" x14ac:dyDescent="0.25">
      <c r="A7" s="118" t="s">
        <v>40</v>
      </c>
      <c r="B7" s="127" t="s">
        <v>39</v>
      </c>
      <c r="C7" s="118">
        <v>150</v>
      </c>
      <c r="D7" s="118">
        <f>8.65/150*C7</f>
        <v>8.65</v>
      </c>
      <c r="E7" s="118">
        <f>18.1/150*C7</f>
        <v>18.100000000000001</v>
      </c>
      <c r="F7" s="132">
        <f>29.95/150*C7</f>
        <v>29.95</v>
      </c>
      <c r="G7" s="118">
        <f>282.2/150*C7</f>
        <v>282.2</v>
      </c>
      <c r="H7" s="165"/>
      <c r="I7" s="3"/>
      <c r="J7" s="2"/>
      <c r="K7" s="1"/>
    </row>
    <row r="8" spans="1:16" s="47" customFormat="1" x14ac:dyDescent="0.25">
      <c r="A8" s="166"/>
      <c r="B8" s="167" t="s">
        <v>13</v>
      </c>
      <c r="C8" s="105">
        <v>30</v>
      </c>
      <c r="D8" s="202">
        <f>C8*6.6/100</f>
        <v>1.98</v>
      </c>
      <c r="E8" s="202">
        <f>C8*1.1/100</f>
        <v>0.33</v>
      </c>
      <c r="F8" s="202">
        <f>C8*43.9/100</f>
        <v>13.17</v>
      </c>
      <c r="G8" s="202">
        <f t="shared" ref="G8" si="0">F8*4+E8*9+D8*4</f>
        <v>63.57</v>
      </c>
      <c r="H8" s="165"/>
      <c r="I8" s="50"/>
      <c r="J8" s="49"/>
      <c r="K8" s="48"/>
    </row>
    <row r="9" spans="1:16" x14ac:dyDescent="0.25">
      <c r="A9" s="169" t="s">
        <v>35</v>
      </c>
      <c r="B9" s="39" t="s">
        <v>24</v>
      </c>
      <c r="C9" s="169">
        <v>200</v>
      </c>
      <c r="D9" s="170">
        <f>0.2/200*C9</f>
        <v>0.2</v>
      </c>
      <c r="E9" s="171">
        <f>0/200*C9</f>
        <v>0</v>
      </c>
      <c r="F9" s="170">
        <f>14/200*C9</f>
        <v>14.000000000000002</v>
      </c>
      <c r="G9" s="170">
        <f>F9*4+E9*9+D9*4</f>
        <v>56.800000000000004</v>
      </c>
      <c r="H9" s="165"/>
      <c r="I9" s="3"/>
      <c r="J9" s="2"/>
      <c r="K9" s="1"/>
    </row>
    <row r="10" spans="1:16" x14ac:dyDescent="0.25">
      <c r="A10" s="232" t="s">
        <v>18</v>
      </c>
      <c r="B10" s="233"/>
      <c r="C10" s="172">
        <f>SUM(C7:C9)</f>
        <v>380</v>
      </c>
      <c r="D10" s="172">
        <f>SUM(D7:D9)</f>
        <v>10.83</v>
      </c>
      <c r="E10" s="172">
        <f>SUM(E7:E9)</f>
        <v>18.43</v>
      </c>
      <c r="F10" s="172">
        <f>SUM(F7:F9)</f>
        <v>57.12</v>
      </c>
      <c r="G10" s="172">
        <f>SUM(G7:G9)</f>
        <v>402.57</v>
      </c>
      <c r="H10" s="165"/>
      <c r="I10" s="3"/>
      <c r="J10" s="2" t="s">
        <v>7</v>
      </c>
      <c r="K10" s="1"/>
    </row>
    <row r="11" spans="1:16" x14ac:dyDescent="0.25">
      <c r="A11" s="230" t="s">
        <v>9</v>
      </c>
      <c r="B11" s="234"/>
      <c r="C11" s="234"/>
      <c r="D11" s="234"/>
      <c r="E11" s="234"/>
      <c r="F11" s="234"/>
      <c r="G11" s="234"/>
      <c r="H11" s="165"/>
      <c r="I11" s="3"/>
      <c r="J11" s="2"/>
      <c r="K11" s="1"/>
    </row>
    <row r="12" spans="1:16" x14ac:dyDescent="0.25">
      <c r="A12" s="125" t="s">
        <v>56</v>
      </c>
      <c r="B12" s="27" t="s">
        <v>57</v>
      </c>
      <c r="C12" s="125">
        <v>230</v>
      </c>
      <c r="D12" s="125">
        <f>2.2/250*C12</f>
        <v>2.024</v>
      </c>
      <c r="E12" s="125">
        <f>2.78/250*C12</f>
        <v>2.5575999999999999</v>
      </c>
      <c r="F12" s="125">
        <f>15.38/250*C12</f>
        <v>14.149600000000001</v>
      </c>
      <c r="G12" s="125">
        <f>106/250*C12</f>
        <v>97.52</v>
      </c>
      <c r="H12" s="165"/>
      <c r="I12" s="3"/>
      <c r="J12" s="2"/>
      <c r="K12" s="1"/>
    </row>
    <row r="13" spans="1:16" x14ac:dyDescent="0.25">
      <c r="A13" s="94" t="s">
        <v>66</v>
      </c>
      <c r="B13" s="93" t="s">
        <v>70</v>
      </c>
      <c r="C13" s="94">
        <v>150</v>
      </c>
      <c r="D13" s="94">
        <f>25.25/250*C13</f>
        <v>15.15</v>
      </c>
      <c r="E13" s="94">
        <f>29.56/250*C13</f>
        <v>17.736000000000001</v>
      </c>
      <c r="F13" s="94">
        <f>86.76/250*C13</f>
        <v>52.056000000000004</v>
      </c>
      <c r="G13" s="94">
        <f>810.72/250*C13</f>
        <v>486.43200000000002</v>
      </c>
      <c r="H13" s="165"/>
      <c r="I13" s="3"/>
      <c r="J13" s="2"/>
      <c r="K13" s="1"/>
    </row>
    <row r="14" spans="1:16" s="101" customFormat="1" x14ac:dyDescent="0.25">
      <c r="A14" s="105"/>
      <c r="B14" s="167" t="s">
        <v>13</v>
      </c>
      <c r="C14" s="105">
        <v>50</v>
      </c>
      <c r="D14" s="105">
        <f>C14*6.6/100</f>
        <v>3.3</v>
      </c>
      <c r="E14" s="105">
        <f>C14*1.1/100</f>
        <v>0.55000000000000004</v>
      </c>
      <c r="F14" s="105">
        <f>C14*43.9/100</f>
        <v>21.95</v>
      </c>
      <c r="G14" s="105">
        <f t="shared" ref="G14" si="1">F14*4+E14*9+D14*4</f>
        <v>105.95</v>
      </c>
      <c r="H14" s="165"/>
      <c r="I14" s="88"/>
      <c r="J14" s="87"/>
      <c r="K14" s="86"/>
      <c r="P14" s="101" t="s">
        <v>7</v>
      </c>
    </row>
    <row r="15" spans="1:16" x14ac:dyDescent="0.25">
      <c r="A15" s="105" t="s">
        <v>22</v>
      </c>
      <c r="B15" s="167" t="s">
        <v>21</v>
      </c>
      <c r="C15" s="105">
        <v>200</v>
      </c>
      <c r="D15" s="168">
        <f>0.3/200*C15</f>
        <v>0.3</v>
      </c>
      <c r="E15" s="173">
        <f>0/200*C15</f>
        <v>0</v>
      </c>
      <c r="F15" s="168">
        <f>15.2/200*C15</f>
        <v>15.2</v>
      </c>
      <c r="G15" s="168">
        <f t="shared" ref="G15" si="2">F15*4+E15*9+D15*4</f>
        <v>62</v>
      </c>
      <c r="H15" s="174"/>
      <c r="I15" s="3"/>
      <c r="J15" s="2"/>
      <c r="K15" s="1"/>
    </row>
    <row r="16" spans="1:16" x14ac:dyDescent="0.25">
      <c r="A16" s="230" t="s">
        <v>19</v>
      </c>
      <c r="B16" s="231"/>
      <c r="C16" s="175">
        <f>SUM(C12:C15)</f>
        <v>630</v>
      </c>
      <c r="D16" s="175">
        <f>SUM(D12:D15)</f>
        <v>20.774000000000001</v>
      </c>
      <c r="E16" s="175">
        <f>SUM(E12:E15)</f>
        <v>20.843600000000002</v>
      </c>
      <c r="F16" s="175">
        <f>SUM(F12:F15)</f>
        <v>103.35560000000001</v>
      </c>
      <c r="G16" s="175">
        <f>SUM(G12:G15)</f>
        <v>751.90200000000004</v>
      </c>
      <c r="H16" s="165"/>
      <c r="I16" s="3"/>
      <c r="J16" s="2"/>
      <c r="K16" s="1"/>
      <c r="M16" s="26"/>
    </row>
    <row r="17" spans="1:11" x14ac:dyDescent="0.25">
      <c r="A17" s="228"/>
      <c r="B17" s="229"/>
      <c r="C17" s="229"/>
      <c r="D17" s="229"/>
      <c r="E17" s="229"/>
      <c r="F17" s="229"/>
      <c r="G17" s="229"/>
      <c r="H17" s="165"/>
      <c r="I17" s="3"/>
      <c r="J17" s="2"/>
      <c r="K17" s="1"/>
    </row>
    <row r="18" spans="1:11" x14ac:dyDescent="0.25">
      <c r="A18" s="230" t="s">
        <v>17</v>
      </c>
      <c r="B18" s="231"/>
      <c r="C18" s="105"/>
      <c r="D18" s="176">
        <f>D10+D16</f>
        <v>31.603999999999999</v>
      </c>
      <c r="E18" s="175">
        <f>E10+E16</f>
        <v>39.273600000000002</v>
      </c>
      <c r="F18" s="176">
        <f>F10+F16</f>
        <v>160.47560000000001</v>
      </c>
      <c r="G18" s="175">
        <f>G10+G16</f>
        <v>1154.472</v>
      </c>
      <c r="H18" s="165"/>
      <c r="I18" s="3"/>
      <c r="J18" s="2"/>
      <c r="K18" s="1"/>
    </row>
    <row r="19" spans="1:11" x14ac:dyDescent="0.25">
      <c r="A19" s="157"/>
      <c r="B19" s="157"/>
      <c r="C19" s="157"/>
      <c r="D19" s="157"/>
      <c r="E19" s="157"/>
      <c r="F19" s="157"/>
      <c r="G19" s="157"/>
      <c r="H19" s="157"/>
    </row>
    <row r="20" spans="1:11" x14ac:dyDescent="0.25">
      <c r="A20" s="157"/>
      <c r="B20" s="157"/>
      <c r="C20" s="157"/>
      <c r="D20" s="157"/>
      <c r="E20" s="157"/>
      <c r="F20" s="157"/>
      <c r="G20" s="157"/>
      <c r="H20" s="157"/>
    </row>
    <row r="21" spans="1:11" x14ac:dyDescent="0.25">
      <c r="A21" s="157"/>
      <c r="B21" s="157"/>
      <c r="C21" s="157"/>
      <c r="D21" s="157"/>
      <c r="E21" s="157"/>
      <c r="F21" s="157"/>
      <c r="G21" s="157"/>
      <c r="H21" s="157"/>
    </row>
    <row r="22" spans="1:11" x14ac:dyDescent="0.25">
      <c r="A22" s="157"/>
      <c r="B22" s="157"/>
      <c r="C22" s="157"/>
      <c r="D22" s="157"/>
      <c r="E22" s="157"/>
      <c r="F22" s="157"/>
      <c r="G22" s="157"/>
      <c r="H22" s="157"/>
    </row>
    <row r="23" spans="1:11" x14ac:dyDescent="0.25">
      <c r="A23" s="154"/>
      <c r="B23" s="154"/>
      <c r="C23" s="154"/>
      <c r="D23" s="154"/>
      <c r="E23" s="154"/>
      <c r="F23" s="154"/>
      <c r="G23" s="154"/>
      <c r="H23" s="154"/>
    </row>
  </sheetData>
  <mergeCells count="13">
    <mergeCell ref="C3:C4"/>
    <mergeCell ref="D3:F3"/>
    <mergeCell ref="G3:G4"/>
    <mergeCell ref="A1:C1"/>
    <mergeCell ref="D1:G1"/>
    <mergeCell ref="D2:G2"/>
    <mergeCell ref="A3:A4"/>
    <mergeCell ref="B3:B4"/>
    <mergeCell ref="A17:G17"/>
    <mergeCell ref="A18:B18"/>
    <mergeCell ref="A10:B10"/>
    <mergeCell ref="A11:G11"/>
    <mergeCell ref="A16:B16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Normal="110" zoomScaleSheetLayoutView="100" workbookViewId="0">
      <selection activeCell="E16" sqref="E16"/>
    </sheetView>
  </sheetViews>
  <sheetFormatPr defaultRowHeight="15" x14ac:dyDescent="0.25"/>
  <cols>
    <col min="1" max="1" width="8.140625" customWidth="1"/>
    <col min="2" max="2" width="28.42578125" customWidth="1"/>
    <col min="3" max="3" width="8" customWidth="1"/>
    <col min="4" max="4" width="7.7109375" customWidth="1"/>
    <col min="5" max="5" width="7" customWidth="1"/>
    <col min="6" max="6" width="10" bestFit="1" customWidth="1"/>
    <col min="7" max="7" width="9.42578125" customWidth="1"/>
  </cols>
  <sheetData>
    <row r="1" spans="1:11" ht="15.75" x14ac:dyDescent="0.25">
      <c r="A1" s="211"/>
      <c r="B1" s="211"/>
      <c r="C1" s="211"/>
      <c r="D1" s="212"/>
      <c r="E1" s="212"/>
      <c r="F1" s="212"/>
      <c r="G1" s="212"/>
    </row>
    <row r="2" spans="1:11" ht="15.75" x14ac:dyDescent="0.25">
      <c r="A2" s="153" t="s">
        <v>85</v>
      </c>
      <c r="B2" s="153"/>
      <c r="C2" s="69"/>
      <c r="D2" s="213" t="s">
        <v>50</v>
      </c>
      <c r="E2" s="213"/>
      <c r="F2" s="213"/>
      <c r="G2" s="213"/>
    </row>
    <row r="3" spans="1:11" ht="24" customHeight="1" x14ac:dyDescent="0.25">
      <c r="A3" s="214" t="s">
        <v>0</v>
      </c>
      <c r="B3" s="214" t="s">
        <v>1</v>
      </c>
      <c r="C3" s="216" t="s">
        <v>2</v>
      </c>
      <c r="D3" s="218" t="s">
        <v>6</v>
      </c>
      <c r="E3" s="219"/>
      <c r="F3" s="220"/>
      <c r="G3" s="216" t="s">
        <v>61</v>
      </c>
      <c r="H3" s="2"/>
      <c r="I3" s="2"/>
      <c r="J3" s="2"/>
      <c r="K3" s="1"/>
    </row>
    <row r="4" spans="1:11" ht="18.75" customHeight="1" x14ac:dyDescent="0.25">
      <c r="A4" s="215"/>
      <c r="B4" s="215"/>
      <c r="C4" s="217"/>
      <c r="D4" s="14" t="s">
        <v>3</v>
      </c>
      <c r="E4" s="14" t="s">
        <v>4</v>
      </c>
      <c r="F4" s="14" t="s">
        <v>5</v>
      </c>
      <c r="G4" s="217"/>
      <c r="H4" s="2"/>
      <c r="I4" s="2"/>
      <c r="J4" s="2"/>
      <c r="K4" s="1"/>
    </row>
    <row r="5" spans="1:11" x14ac:dyDescent="0.25">
      <c r="A5" s="15"/>
      <c r="B5" s="16"/>
      <c r="C5" s="16"/>
      <c r="D5" s="61"/>
      <c r="E5" s="61"/>
      <c r="F5" s="62" t="s">
        <v>8</v>
      </c>
      <c r="G5" s="61"/>
      <c r="H5" s="2"/>
      <c r="I5" s="2"/>
      <c r="J5" s="2"/>
      <c r="K5" s="1"/>
    </row>
    <row r="6" spans="1:11" x14ac:dyDescent="0.25">
      <c r="A6" s="121" t="s">
        <v>59</v>
      </c>
      <c r="B6" s="112" t="s">
        <v>60</v>
      </c>
      <c r="C6" s="121">
        <v>150</v>
      </c>
      <c r="D6" s="63">
        <f>4.8/200*C6</f>
        <v>3.6</v>
      </c>
      <c r="E6" s="63">
        <f>7/200*C6</f>
        <v>5.2500000000000009</v>
      </c>
      <c r="F6" s="64">
        <f>51.6/200*C6</f>
        <v>38.700000000000003</v>
      </c>
      <c r="G6" s="121">
        <f>288.6/200*C6</f>
        <v>216.45000000000002</v>
      </c>
      <c r="H6" s="3"/>
      <c r="I6" s="3"/>
      <c r="J6" s="2"/>
      <c r="K6" s="1"/>
    </row>
    <row r="7" spans="1:11" x14ac:dyDescent="0.25">
      <c r="A7" s="41" t="s">
        <v>68</v>
      </c>
      <c r="B7" s="120" t="s">
        <v>13</v>
      </c>
      <c r="C7" s="121">
        <v>30</v>
      </c>
      <c r="D7" s="202">
        <f>C7*6.6/100</f>
        <v>1.98</v>
      </c>
      <c r="E7" s="202">
        <f>C7*1.1/100</f>
        <v>0.33</v>
      </c>
      <c r="F7" s="202">
        <f>C7*43.9/100</f>
        <v>13.17</v>
      </c>
      <c r="G7" s="202">
        <f t="shared" ref="G7" si="0">F7*4+E7*9+D7*4</f>
        <v>63.57</v>
      </c>
      <c r="H7" s="3"/>
      <c r="I7" s="3"/>
      <c r="J7" s="2"/>
      <c r="K7" s="1"/>
    </row>
    <row r="8" spans="1:11" x14ac:dyDescent="0.25">
      <c r="A8" s="116" t="s">
        <v>16</v>
      </c>
      <c r="B8" s="114" t="s">
        <v>15</v>
      </c>
      <c r="C8" s="116">
        <v>200</v>
      </c>
      <c r="D8" s="115">
        <f>3.456/200*C8</f>
        <v>3.456</v>
      </c>
      <c r="E8" s="115">
        <f>3.776/200*C8</f>
        <v>3.7759999999999994</v>
      </c>
      <c r="F8" s="115">
        <f>13.284/200*C8</f>
        <v>13.284000000000001</v>
      </c>
      <c r="G8" s="115">
        <f>100.24/200*C8</f>
        <v>100.24</v>
      </c>
      <c r="H8" s="3"/>
      <c r="I8" s="3"/>
      <c r="J8" s="2"/>
      <c r="K8" s="1"/>
    </row>
    <row r="9" spans="1:11" x14ac:dyDescent="0.25">
      <c r="A9" s="207" t="s">
        <v>18</v>
      </c>
      <c r="B9" s="208"/>
      <c r="C9" s="21">
        <f>SUM(C6:C8)</f>
        <v>380</v>
      </c>
      <c r="D9" s="21">
        <f>SUM(D6:D8)</f>
        <v>9.0359999999999996</v>
      </c>
      <c r="E9" s="21">
        <f>SUM(E6:E8)</f>
        <v>9.3559999999999999</v>
      </c>
      <c r="F9" s="22">
        <f>SUM(F6:F8)</f>
        <v>65.154000000000011</v>
      </c>
      <c r="G9" s="21">
        <f>SUM(G6:G8)</f>
        <v>380.26000000000005</v>
      </c>
      <c r="H9" s="3"/>
      <c r="I9" s="3"/>
      <c r="J9" s="2" t="s">
        <v>7</v>
      </c>
      <c r="K9" s="1"/>
    </row>
    <row r="10" spans="1:11" x14ac:dyDescent="0.25">
      <c r="A10" s="207" t="s">
        <v>9</v>
      </c>
      <c r="B10" s="209"/>
      <c r="C10" s="209"/>
      <c r="D10" s="209"/>
      <c r="E10" s="209"/>
      <c r="F10" s="209"/>
      <c r="G10" s="209"/>
      <c r="H10" s="3"/>
      <c r="I10" s="3"/>
      <c r="J10" s="2"/>
      <c r="K10" s="1"/>
    </row>
    <row r="11" spans="1:11" x14ac:dyDescent="0.25">
      <c r="A11" s="18" t="s">
        <v>38</v>
      </c>
      <c r="B11" s="23" t="s">
        <v>37</v>
      </c>
      <c r="C11" s="18">
        <v>200</v>
      </c>
      <c r="D11" s="20">
        <f>2.23/250*C11</f>
        <v>1.7839999999999998</v>
      </c>
      <c r="E11" s="20">
        <f>2.98/250*C11</f>
        <v>2.3839999999999999</v>
      </c>
      <c r="F11" s="20">
        <f>16.63/250*C11</f>
        <v>13.303999999999998</v>
      </c>
      <c r="G11" s="20">
        <f>101.3/250*C11</f>
        <v>81.040000000000006</v>
      </c>
      <c r="H11" s="3"/>
      <c r="I11" s="3"/>
      <c r="J11" s="2"/>
      <c r="K11" s="1"/>
    </row>
    <row r="12" spans="1:11" s="101" customFormat="1" x14ac:dyDescent="0.25">
      <c r="A12" s="103" t="s">
        <v>12</v>
      </c>
      <c r="B12" s="102" t="s">
        <v>11</v>
      </c>
      <c r="C12" s="105">
        <v>150</v>
      </c>
      <c r="D12" s="55">
        <f>C12*2.1/100</f>
        <v>3.15</v>
      </c>
      <c r="E12" s="55">
        <f>C12*4.5/100</f>
        <v>6.75</v>
      </c>
      <c r="F12" s="55">
        <f>C12*14.6/100</f>
        <v>21.9</v>
      </c>
      <c r="G12" s="55">
        <f t="shared" ref="G12:G15" si="1">F12*4+E12*9+D12*4</f>
        <v>160.94999999999999</v>
      </c>
      <c r="H12" s="88"/>
      <c r="I12" s="88"/>
      <c r="J12" s="87"/>
      <c r="K12" s="86"/>
    </row>
    <row r="13" spans="1:11" x14ac:dyDescent="0.25">
      <c r="A13" s="103" t="s">
        <v>44</v>
      </c>
      <c r="B13" s="102" t="s">
        <v>43</v>
      </c>
      <c r="C13" s="103">
        <v>100</v>
      </c>
      <c r="D13" s="104">
        <f>C13*17.5/100</f>
        <v>17.5</v>
      </c>
      <c r="E13" s="104">
        <f>C13*14.9/100</f>
        <v>14.9</v>
      </c>
      <c r="F13" s="104">
        <f>C13*9/100</f>
        <v>9</v>
      </c>
      <c r="G13" s="104">
        <f t="shared" si="1"/>
        <v>240.1</v>
      </c>
      <c r="H13" s="3"/>
      <c r="I13" s="3"/>
      <c r="J13" s="2"/>
      <c r="K13" s="1"/>
    </row>
    <row r="14" spans="1:11" s="198" customFormat="1" x14ac:dyDescent="0.25">
      <c r="A14" s="202"/>
      <c r="B14" s="203" t="s">
        <v>97</v>
      </c>
      <c r="C14" s="202">
        <v>100</v>
      </c>
      <c r="D14" s="147">
        <v>0.4</v>
      </c>
      <c r="E14" s="147">
        <v>0</v>
      </c>
      <c r="F14" s="147">
        <v>11.3</v>
      </c>
      <c r="G14" s="147">
        <v>46</v>
      </c>
      <c r="H14" s="201"/>
      <c r="I14" s="201"/>
      <c r="J14" s="200"/>
      <c r="K14" s="199"/>
    </row>
    <row r="15" spans="1:11" x14ac:dyDescent="0.25">
      <c r="A15" s="18"/>
      <c r="B15" s="19" t="s">
        <v>13</v>
      </c>
      <c r="C15" s="18">
        <v>50</v>
      </c>
      <c r="D15" s="186">
        <f>C15*6.6/100</f>
        <v>3.3</v>
      </c>
      <c r="E15" s="186">
        <f>C15*1.1/100</f>
        <v>0.55000000000000004</v>
      </c>
      <c r="F15" s="186">
        <f>C15*43.9/100</f>
        <v>21.95</v>
      </c>
      <c r="G15" s="186">
        <f t="shared" si="1"/>
        <v>105.95</v>
      </c>
      <c r="H15" s="3"/>
      <c r="I15" s="3"/>
      <c r="J15" s="2"/>
      <c r="K15" s="1"/>
    </row>
    <row r="16" spans="1:11" x14ac:dyDescent="0.25">
      <c r="A16" s="57"/>
      <c r="B16" s="56" t="s">
        <v>63</v>
      </c>
      <c r="C16" s="51">
        <v>200</v>
      </c>
      <c r="D16" s="79">
        <f>1/200*C16</f>
        <v>1</v>
      </c>
      <c r="E16" s="80">
        <f>0.2/200*C16</f>
        <v>0.2</v>
      </c>
      <c r="F16" s="80">
        <f>50.2/200*C16</f>
        <v>50.2</v>
      </c>
      <c r="G16" s="80">
        <f>86.6/200*C16</f>
        <v>86.6</v>
      </c>
      <c r="H16" s="3"/>
      <c r="I16" s="3"/>
      <c r="J16" s="2"/>
      <c r="K16" s="1"/>
    </row>
    <row r="17" spans="1:11" x14ac:dyDescent="0.25">
      <c r="A17" s="207" t="s">
        <v>19</v>
      </c>
      <c r="B17" s="208"/>
      <c r="C17" s="73">
        <f>SUM(C11:C16)</f>
        <v>800</v>
      </c>
      <c r="D17" s="22">
        <f>SUM(D11:D16)</f>
        <v>27.133999999999997</v>
      </c>
      <c r="E17" s="22">
        <f>SUM(E11:E16)</f>
        <v>24.783999999999999</v>
      </c>
      <c r="F17" s="22">
        <f>SUM(F11:F16)</f>
        <v>127.654</v>
      </c>
      <c r="G17" s="22">
        <f>SUM(G11:G16)</f>
        <v>720.6400000000001</v>
      </c>
      <c r="H17" s="3"/>
      <c r="I17" s="3"/>
      <c r="J17" s="2"/>
      <c r="K17" s="1"/>
    </row>
    <row r="18" spans="1:11" x14ac:dyDescent="0.25">
      <c r="A18" s="205"/>
      <c r="B18" s="206"/>
      <c r="C18" s="206"/>
      <c r="D18" s="206"/>
      <c r="E18" s="206"/>
      <c r="F18" s="206"/>
      <c r="G18" s="206"/>
      <c r="H18" s="3"/>
      <c r="I18" s="3"/>
      <c r="J18" s="2"/>
      <c r="K18" s="1"/>
    </row>
    <row r="19" spans="1:11" x14ac:dyDescent="0.25">
      <c r="A19" s="207" t="s">
        <v>17</v>
      </c>
      <c r="B19" s="208"/>
      <c r="C19" s="18"/>
      <c r="D19" s="22">
        <f>D9+D17</f>
        <v>36.169999999999995</v>
      </c>
      <c r="E19" s="22">
        <f>E9+E17</f>
        <v>34.14</v>
      </c>
      <c r="F19" s="22">
        <f>F9+F17</f>
        <v>192.80799999999999</v>
      </c>
      <c r="G19" s="22">
        <f>G9+G17</f>
        <v>1100.9000000000001</v>
      </c>
      <c r="H19" s="3"/>
      <c r="I19" s="3"/>
      <c r="J19" s="2"/>
      <c r="K19" s="1"/>
    </row>
  </sheetData>
  <mergeCells count="13">
    <mergeCell ref="A1:C1"/>
    <mergeCell ref="D1:G1"/>
    <mergeCell ref="D2:G2"/>
    <mergeCell ref="A3:A4"/>
    <mergeCell ref="B3:B4"/>
    <mergeCell ref="C3:C4"/>
    <mergeCell ref="D3:F3"/>
    <mergeCell ref="G3:G4"/>
    <mergeCell ref="A17:B17"/>
    <mergeCell ref="A18:G18"/>
    <mergeCell ref="A19:B19"/>
    <mergeCell ref="A10:G10"/>
    <mergeCell ref="A9:B9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Normal="110" zoomScaleSheetLayoutView="100" workbookViewId="0">
      <selection activeCell="F12" sqref="F12"/>
    </sheetView>
  </sheetViews>
  <sheetFormatPr defaultRowHeight="15" x14ac:dyDescent="0.25"/>
  <cols>
    <col min="1" max="1" width="9.85546875" customWidth="1"/>
    <col min="2" max="2" width="27.140625" customWidth="1"/>
    <col min="3" max="3" width="8" customWidth="1"/>
    <col min="4" max="4" width="7.7109375" customWidth="1"/>
    <col min="5" max="5" width="7" customWidth="1"/>
    <col min="7" max="7" width="8.5703125" customWidth="1"/>
    <col min="8" max="8" width="6.7109375" customWidth="1"/>
  </cols>
  <sheetData>
    <row r="1" spans="1:11" ht="15.75" x14ac:dyDescent="0.25">
      <c r="A1" s="211"/>
      <c r="B1" s="211"/>
      <c r="C1" s="211"/>
      <c r="D1" s="212"/>
      <c r="E1" s="212"/>
      <c r="F1" s="212"/>
      <c r="G1" s="212"/>
    </row>
    <row r="2" spans="1:11" ht="15.75" x14ac:dyDescent="0.25">
      <c r="A2" s="153" t="s">
        <v>85</v>
      </c>
      <c r="B2" s="153"/>
      <c r="C2" s="69"/>
      <c r="D2" s="213" t="s">
        <v>51</v>
      </c>
      <c r="E2" s="213"/>
      <c r="F2" s="213"/>
      <c r="G2" s="213"/>
    </row>
    <row r="3" spans="1:11" ht="18" customHeight="1" x14ac:dyDescent="0.25">
      <c r="A3" s="246" t="s">
        <v>0</v>
      </c>
      <c r="B3" s="246" t="s">
        <v>1</v>
      </c>
      <c r="C3" s="247" t="s">
        <v>2</v>
      </c>
      <c r="D3" s="246" t="s">
        <v>6</v>
      </c>
      <c r="E3" s="246"/>
      <c r="F3" s="246"/>
      <c r="G3" s="216" t="s">
        <v>61</v>
      </c>
      <c r="H3" s="250"/>
      <c r="I3" s="2"/>
      <c r="J3" s="2"/>
      <c r="K3" s="1"/>
    </row>
    <row r="4" spans="1:11" ht="34.5" customHeight="1" x14ac:dyDescent="0.25">
      <c r="A4" s="246"/>
      <c r="B4" s="246"/>
      <c r="C4" s="247"/>
      <c r="D4" s="14" t="s">
        <v>3</v>
      </c>
      <c r="E4" s="14" t="s">
        <v>4</v>
      </c>
      <c r="F4" s="14" t="s">
        <v>5</v>
      </c>
      <c r="G4" s="217"/>
      <c r="H4" s="250"/>
      <c r="I4" s="2"/>
      <c r="J4" s="2"/>
      <c r="K4" s="1"/>
    </row>
    <row r="5" spans="1:11" x14ac:dyDescent="0.25">
      <c r="A5" s="207" t="s">
        <v>8</v>
      </c>
      <c r="B5" s="209"/>
      <c r="C5" s="209"/>
      <c r="D5" s="209"/>
      <c r="E5" s="209"/>
      <c r="F5" s="209"/>
      <c r="G5" s="209"/>
      <c r="H5" s="11"/>
      <c r="I5" s="2"/>
      <c r="J5" s="2"/>
      <c r="K5" s="1"/>
    </row>
    <row r="6" spans="1:11" ht="15" customHeight="1" x14ac:dyDescent="0.25">
      <c r="A6" s="118" t="s">
        <v>49</v>
      </c>
      <c r="B6" s="127" t="s">
        <v>36</v>
      </c>
      <c r="C6" s="118">
        <v>150</v>
      </c>
      <c r="D6" s="124">
        <f>C6*3.5/100</f>
        <v>5.25</v>
      </c>
      <c r="E6" s="118">
        <f>C6*4.6/100</f>
        <v>6.9</v>
      </c>
      <c r="F6" s="124">
        <f>C6*16.7/100</f>
        <v>25.05</v>
      </c>
      <c r="G6" s="118">
        <f>F6*4+E6*9+D6*4</f>
        <v>183.3</v>
      </c>
      <c r="H6" s="11"/>
      <c r="I6" s="3"/>
      <c r="J6" s="2"/>
      <c r="K6" s="1"/>
    </row>
    <row r="7" spans="1:11" x14ac:dyDescent="0.25">
      <c r="A7" s="41"/>
      <c r="B7" s="66" t="s">
        <v>13</v>
      </c>
      <c r="C7" s="65">
        <v>30</v>
      </c>
      <c r="D7" s="202">
        <f>C7*6.6/100</f>
        <v>1.98</v>
      </c>
      <c r="E7" s="202">
        <f>C7*1.1/100</f>
        <v>0.33</v>
      </c>
      <c r="F7" s="202">
        <f>C7*43.9/100</f>
        <v>13.17</v>
      </c>
      <c r="G7" s="202">
        <f t="shared" ref="G7" si="0">F7*4+E7*9+D7*4</f>
        <v>63.57</v>
      </c>
      <c r="H7" s="28"/>
      <c r="I7" s="3"/>
      <c r="J7" s="2"/>
      <c r="K7" s="1"/>
    </row>
    <row r="8" spans="1:11" x14ac:dyDescent="0.25">
      <c r="A8" s="121" t="s">
        <v>25</v>
      </c>
      <c r="B8" s="120" t="s">
        <v>23</v>
      </c>
      <c r="C8" s="121">
        <v>200</v>
      </c>
      <c r="D8" s="122">
        <f>2.9*C8/100</f>
        <v>5.8</v>
      </c>
      <c r="E8" s="122">
        <f>2*C8/100</f>
        <v>4</v>
      </c>
      <c r="F8" s="122">
        <f>32.5*C8/100</f>
        <v>65</v>
      </c>
      <c r="G8" s="122">
        <f>194.6*C8/100</f>
        <v>389.2</v>
      </c>
      <c r="H8" s="11"/>
      <c r="I8" s="3"/>
      <c r="J8" s="2"/>
      <c r="K8" s="1"/>
    </row>
    <row r="9" spans="1:11" x14ac:dyDescent="0.25">
      <c r="A9" s="245" t="s">
        <v>18</v>
      </c>
      <c r="B9" s="245"/>
      <c r="C9" s="21">
        <f>SUM(C6:C8)</f>
        <v>380</v>
      </c>
      <c r="D9" s="21">
        <f>SUM(D6:D8)</f>
        <v>13.030000000000001</v>
      </c>
      <c r="E9" s="21">
        <f>SUM(E6:E8)</f>
        <v>11.23</v>
      </c>
      <c r="F9" s="22">
        <f>SUM(F6:F8)</f>
        <v>103.22</v>
      </c>
      <c r="G9" s="22">
        <f>SUM(G6:G8)</f>
        <v>636.06999999999994</v>
      </c>
      <c r="H9" s="11"/>
      <c r="I9" s="3"/>
      <c r="J9" s="2" t="s">
        <v>7</v>
      </c>
      <c r="K9" s="1"/>
    </row>
    <row r="10" spans="1:11" x14ac:dyDescent="0.25">
      <c r="A10" s="207" t="s">
        <v>9</v>
      </c>
      <c r="B10" s="209"/>
      <c r="C10" s="209"/>
      <c r="D10" s="209"/>
      <c r="E10" s="209"/>
      <c r="F10" s="209"/>
      <c r="G10" s="209"/>
      <c r="H10" s="12"/>
      <c r="I10" s="3"/>
      <c r="J10" s="2"/>
      <c r="K10" s="1"/>
    </row>
    <row r="11" spans="1:11" x14ac:dyDescent="0.25">
      <c r="A11" s="18" t="s">
        <v>42</v>
      </c>
      <c r="B11" s="19" t="s">
        <v>41</v>
      </c>
      <c r="C11" s="18">
        <v>200</v>
      </c>
      <c r="D11" s="20">
        <f>13.5/250*C11</f>
        <v>10.8</v>
      </c>
      <c r="E11" s="20">
        <f>3.6/250*C11</f>
        <v>2.88</v>
      </c>
      <c r="F11" s="20">
        <f>12.5/250*C11</f>
        <v>10</v>
      </c>
      <c r="G11" s="20">
        <f>136.4/250*C11</f>
        <v>109.11999999999999</v>
      </c>
      <c r="H11" s="11"/>
      <c r="I11" s="3"/>
      <c r="J11" s="2"/>
      <c r="K11" s="1"/>
    </row>
    <row r="12" spans="1:11" x14ac:dyDescent="0.25">
      <c r="A12" s="96" t="s">
        <v>33</v>
      </c>
      <c r="B12" s="98" t="s">
        <v>32</v>
      </c>
      <c r="C12" s="96">
        <v>150</v>
      </c>
      <c r="D12" s="97">
        <f>C12*3.5/100</f>
        <v>5.25</v>
      </c>
      <c r="E12" s="97">
        <f>C12*4.1/100</f>
        <v>6.15</v>
      </c>
      <c r="F12" s="97">
        <f>C12*23.5/100</f>
        <v>35.25</v>
      </c>
      <c r="G12" s="97">
        <f t="shared" ref="G12:G16" si="1">F12*4+E12*9+D12*4</f>
        <v>217.35</v>
      </c>
      <c r="H12" s="11"/>
      <c r="I12" s="3"/>
      <c r="J12" s="2"/>
      <c r="K12" s="1"/>
    </row>
    <row r="13" spans="1:11" x14ac:dyDescent="0.25">
      <c r="A13" s="106" t="s">
        <v>83</v>
      </c>
      <c r="B13" s="107" t="s">
        <v>84</v>
      </c>
      <c r="C13" s="106">
        <v>90</v>
      </c>
      <c r="D13" s="80">
        <f>8.05/90*C13</f>
        <v>8.0500000000000007</v>
      </c>
      <c r="E13" s="80">
        <f>9.19/90*C13</f>
        <v>9.19</v>
      </c>
      <c r="F13" s="80">
        <f>7.77/90*C13</f>
        <v>7.77</v>
      </c>
      <c r="G13" s="80">
        <f>151/90*C13</f>
        <v>151</v>
      </c>
      <c r="H13" s="11"/>
      <c r="I13" s="3"/>
      <c r="J13" s="2"/>
      <c r="K13" s="10"/>
    </row>
    <row r="14" spans="1:11" x14ac:dyDescent="0.25">
      <c r="A14" s="18" t="s">
        <v>34</v>
      </c>
      <c r="B14" s="19" t="s">
        <v>20</v>
      </c>
      <c r="C14" s="18">
        <v>30</v>
      </c>
      <c r="D14" s="18">
        <f>C14*1.3/50</f>
        <v>0.78</v>
      </c>
      <c r="E14" s="18">
        <f>C14*4.8/50</f>
        <v>2.88</v>
      </c>
      <c r="F14" s="18">
        <f>C14*4.7/50</f>
        <v>2.82</v>
      </c>
      <c r="G14" s="18">
        <f t="shared" si="1"/>
        <v>40.319999999999993</v>
      </c>
      <c r="H14" s="11"/>
      <c r="I14" s="3"/>
      <c r="J14" s="2"/>
      <c r="K14" s="1"/>
    </row>
    <row r="15" spans="1:11" s="198" customFormat="1" x14ac:dyDescent="0.25">
      <c r="A15" s="202"/>
      <c r="B15" s="203" t="s">
        <v>100</v>
      </c>
      <c r="C15" s="202">
        <v>100</v>
      </c>
      <c r="D15" s="147">
        <v>0.4</v>
      </c>
      <c r="E15" s="147">
        <v>0</v>
      </c>
      <c r="F15" s="147">
        <v>11.3</v>
      </c>
      <c r="G15" s="147">
        <v>46</v>
      </c>
      <c r="H15" s="11"/>
      <c r="I15" s="201"/>
      <c r="J15" s="200"/>
      <c r="K15" s="199"/>
    </row>
    <row r="16" spans="1:11" x14ac:dyDescent="0.25">
      <c r="A16" s="18"/>
      <c r="B16" s="19" t="s">
        <v>13</v>
      </c>
      <c r="C16" s="18">
        <v>50</v>
      </c>
      <c r="D16" s="18">
        <f>C16*6.6/100</f>
        <v>3.3</v>
      </c>
      <c r="E16" s="18">
        <f>C16*1.1/100</f>
        <v>0.55000000000000004</v>
      </c>
      <c r="F16" s="18">
        <f>C16*43.9/100</f>
        <v>21.95</v>
      </c>
      <c r="G16" s="18">
        <f t="shared" si="1"/>
        <v>105.95</v>
      </c>
      <c r="H16" s="11"/>
      <c r="I16" s="3"/>
      <c r="J16" s="2"/>
      <c r="K16" s="1"/>
    </row>
    <row r="17" spans="1:11" x14ac:dyDescent="0.25">
      <c r="A17" s="57" t="s">
        <v>64</v>
      </c>
      <c r="B17" s="27" t="s">
        <v>65</v>
      </c>
      <c r="C17" s="57">
        <v>200</v>
      </c>
      <c r="D17" s="57">
        <f>0.16/200*C17</f>
        <v>0.16</v>
      </c>
      <c r="E17" s="57">
        <f>0.16/200*C17</f>
        <v>0.16</v>
      </c>
      <c r="F17" s="57">
        <f>23.88/200*C17</f>
        <v>23.88</v>
      </c>
      <c r="G17" s="57">
        <f>97.6/200*C17</f>
        <v>97.6</v>
      </c>
      <c r="H17" s="11"/>
      <c r="I17" s="3"/>
      <c r="J17" s="2"/>
      <c r="K17" s="1"/>
    </row>
    <row r="18" spans="1:11" x14ac:dyDescent="0.25">
      <c r="A18" s="245" t="s">
        <v>19</v>
      </c>
      <c r="B18" s="245"/>
      <c r="C18" s="74">
        <f>SUM(C11:C17)</f>
        <v>820</v>
      </c>
      <c r="D18" s="22">
        <f>SUM(D11:D17)</f>
        <v>28.740000000000002</v>
      </c>
      <c r="E18" s="21">
        <f>SUM(E11:E17)</f>
        <v>21.81</v>
      </c>
      <c r="F18" s="21">
        <f>SUM(F11:F17)</f>
        <v>112.97</v>
      </c>
      <c r="G18" s="21">
        <f>SUM(G11:G17)</f>
        <v>767.34</v>
      </c>
      <c r="H18" s="11"/>
      <c r="I18" s="3"/>
      <c r="J18" s="2"/>
      <c r="K18" s="1"/>
    </row>
    <row r="19" spans="1:11" x14ac:dyDescent="0.25">
      <c r="A19" s="248"/>
      <c r="B19" s="249"/>
      <c r="C19" s="249"/>
      <c r="D19" s="249"/>
      <c r="E19" s="249"/>
      <c r="F19" s="249"/>
      <c r="G19" s="249"/>
      <c r="H19" s="13"/>
      <c r="I19" s="3"/>
      <c r="J19" s="2"/>
      <c r="K19" s="1"/>
    </row>
    <row r="20" spans="1:11" x14ac:dyDescent="0.25">
      <c r="A20" s="245" t="s">
        <v>17</v>
      </c>
      <c r="B20" s="245"/>
      <c r="C20" s="18"/>
      <c r="D20" s="22">
        <f>D9+D18</f>
        <v>41.77</v>
      </c>
      <c r="E20" s="21">
        <f>E9+E18</f>
        <v>33.04</v>
      </c>
      <c r="F20" s="22">
        <f>F9+F18</f>
        <v>216.19</v>
      </c>
      <c r="G20" s="21">
        <f>G9+G18</f>
        <v>1403.4099999999999</v>
      </c>
      <c r="H20" s="11"/>
      <c r="I20" s="3"/>
      <c r="J20" s="2"/>
      <c r="K20" s="1"/>
    </row>
  </sheetData>
  <mergeCells count="15">
    <mergeCell ref="A1:C1"/>
    <mergeCell ref="D1:G1"/>
    <mergeCell ref="D2:G2"/>
    <mergeCell ref="H3:H4"/>
    <mergeCell ref="A9:B9"/>
    <mergeCell ref="D3:F3"/>
    <mergeCell ref="G3:G4"/>
    <mergeCell ref="A18:B18"/>
    <mergeCell ref="A20:B20"/>
    <mergeCell ref="A3:A4"/>
    <mergeCell ref="B3:B4"/>
    <mergeCell ref="C3:C4"/>
    <mergeCell ref="A5:G5"/>
    <mergeCell ref="A10:G10"/>
    <mergeCell ref="A19:G19"/>
  </mergeCells>
  <pageMargins left="0.39370078740157483" right="0.70866141732283472" top="0.74803149606299213" bottom="0.74803149606299213" header="0.31496062992125984" footer="0.31496062992125984"/>
  <pageSetup paperSize="9" scale="1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Normal="110" zoomScaleSheetLayoutView="100" workbookViewId="0">
      <selection activeCell="I8" sqref="I8"/>
    </sheetView>
  </sheetViews>
  <sheetFormatPr defaultRowHeight="15" x14ac:dyDescent="0.25"/>
  <cols>
    <col min="1" max="1" width="9.85546875" customWidth="1"/>
    <col min="2" max="2" width="27.7109375" customWidth="1"/>
    <col min="3" max="3" width="7" customWidth="1"/>
    <col min="4" max="4" width="6.42578125" customWidth="1"/>
    <col min="5" max="5" width="5.85546875" customWidth="1"/>
    <col min="6" max="6" width="8.140625" customWidth="1"/>
    <col min="7" max="7" width="9.42578125" customWidth="1"/>
  </cols>
  <sheetData>
    <row r="1" spans="1:10" ht="15.75" x14ac:dyDescent="0.25">
      <c r="A1" s="211"/>
      <c r="B1" s="211"/>
      <c r="C1" s="211"/>
      <c r="D1" s="212"/>
      <c r="E1" s="212"/>
      <c r="F1" s="212"/>
      <c r="G1" s="212"/>
    </row>
    <row r="2" spans="1:10" ht="15.75" x14ac:dyDescent="0.25">
      <c r="A2" s="153" t="s">
        <v>85</v>
      </c>
      <c r="B2" s="153"/>
      <c r="C2" s="69"/>
      <c r="D2" s="213" t="s">
        <v>55</v>
      </c>
      <c r="E2" s="213"/>
      <c r="F2" s="213"/>
      <c r="G2" s="213"/>
    </row>
    <row r="3" spans="1:10" ht="18" customHeight="1" x14ac:dyDescent="0.25">
      <c r="A3" s="214" t="s">
        <v>0</v>
      </c>
      <c r="B3" s="214" t="s">
        <v>1</v>
      </c>
      <c r="C3" s="216" t="s">
        <v>2</v>
      </c>
      <c r="D3" s="218" t="s">
        <v>6</v>
      </c>
      <c r="E3" s="219"/>
      <c r="F3" s="220"/>
      <c r="G3" s="216" t="s">
        <v>61</v>
      </c>
      <c r="H3" s="2"/>
      <c r="I3" s="2"/>
      <c r="J3" s="1"/>
    </row>
    <row r="4" spans="1:10" x14ac:dyDescent="0.25">
      <c r="A4" s="215"/>
      <c r="B4" s="215"/>
      <c r="C4" s="217"/>
      <c r="D4" s="14" t="s">
        <v>3</v>
      </c>
      <c r="E4" s="14" t="s">
        <v>4</v>
      </c>
      <c r="F4" s="14" t="s">
        <v>5</v>
      </c>
      <c r="G4" s="217"/>
      <c r="H4" s="2"/>
      <c r="I4" s="2"/>
      <c r="J4" s="1"/>
    </row>
    <row r="5" spans="1:10" x14ac:dyDescent="0.25">
      <c r="A5" s="15"/>
      <c r="B5" s="16"/>
      <c r="C5" s="16"/>
      <c r="D5" s="16"/>
      <c r="E5" s="16"/>
      <c r="F5" s="17" t="s">
        <v>8</v>
      </c>
      <c r="G5" s="16"/>
      <c r="H5" s="2"/>
      <c r="I5" s="2"/>
      <c r="J5" s="1"/>
    </row>
    <row r="6" spans="1:10" ht="25.5" x14ac:dyDescent="0.25">
      <c r="A6" s="65" t="s">
        <v>95</v>
      </c>
      <c r="B6" s="178" t="s">
        <v>96</v>
      </c>
      <c r="C6" s="65">
        <v>200</v>
      </c>
      <c r="D6" s="67">
        <v>5.55</v>
      </c>
      <c r="E6" s="67">
        <v>5.58</v>
      </c>
      <c r="F6" s="67">
        <v>17.72</v>
      </c>
      <c r="G6" s="67">
        <v>143.02000000000001</v>
      </c>
      <c r="H6" s="3"/>
      <c r="I6" s="2"/>
      <c r="J6" s="1"/>
    </row>
    <row r="7" spans="1:10" s="47" customFormat="1" x14ac:dyDescent="0.25">
      <c r="A7" s="106"/>
      <c r="B7" s="120" t="s">
        <v>13</v>
      </c>
      <c r="C7" s="121">
        <v>30</v>
      </c>
      <c r="D7" s="121">
        <f>C7*6.6/100</f>
        <v>1.98</v>
      </c>
      <c r="E7" s="121">
        <f>C7*1.1/100</f>
        <v>0.33</v>
      </c>
      <c r="F7" s="121">
        <f>C7*43.9/100</f>
        <v>13.17</v>
      </c>
      <c r="G7" s="121">
        <f t="shared" ref="G7" si="0">F7*4+E7*9+D7*4</f>
        <v>63.57</v>
      </c>
      <c r="H7" s="50"/>
      <c r="I7" s="49"/>
      <c r="J7" s="48"/>
    </row>
    <row r="8" spans="1:10" x14ac:dyDescent="0.25">
      <c r="A8" s="116" t="s">
        <v>16</v>
      </c>
      <c r="B8" s="114" t="s">
        <v>15</v>
      </c>
      <c r="C8" s="116">
        <v>200</v>
      </c>
      <c r="D8" s="115">
        <f>3.456/200*C8</f>
        <v>3.456</v>
      </c>
      <c r="E8" s="115">
        <f>3.776/200*C8</f>
        <v>3.7759999999999994</v>
      </c>
      <c r="F8" s="115">
        <f>13.284/200*C8</f>
        <v>13.284000000000001</v>
      </c>
      <c r="G8" s="115">
        <f>100.24/200*C8</f>
        <v>100.24</v>
      </c>
      <c r="H8" s="3"/>
      <c r="I8" s="2"/>
      <c r="J8" s="1"/>
    </row>
    <row r="9" spans="1:10" x14ac:dyDescent="0.25">
      <c r="A9" s="207" t="s">
        <v>18</v>
      </c>
      <c r="B9" s="208"/>
      <c r="C9" s="21">
        <f>SUM(C6:C8)</f>
        <v>430</v>
      </c>
      <c r="D9" s="21">
        <f>SUM(D6:D8)</f>
        <v>10.985999999999999</v>
      </c>
      <c r="E9" s="21">
        <f>SUM(E6:E8)</f>
        <v>9.6859999999999999</v>
      </c>
      <c r="F9" s="22">
        <f>SUM(F6:F8)</f>
        <v>44.173999999999999</v>
      </c>
      <c r="G9" s="21">
        <f>SUM(G6:G8)</f>
        <v>306.83</v>
      </c>
      <c r="H9" s="3"/>
      <c r="I9" s="2" t="s">
        <v>7</v>
      </c>
      <c r="J9" s="1"/>
    </row>
    <row r="10" spans="1:10" x14ac:dyDescent="0.25">
      <c r="A10" s="251" t="s">
        <v>9</v>
      </c>
      <c r="B10" s="252"/>
      <c r="C10" s="252"/>
      <c r="D10" s="252"/>
      <c r="E10" s="252"/>
      <c r="F10" s="252"/>
      <c r="G10" s="252"/>
      <c r="H10" s="3"/>
      <c r="I10" s="2"/>
      <c r="J10" s="1"/>
    </row>
    <row r="11" spans="1:10" s="101" customFormat="1" x14ac:dyDescent="0.25">
      <c r="A11" s="111" t="s">
        <v>10</v>
      </c>
      <c r="B11" s="109" t="s">
        <v>76</v>
      </c>
      <c r="C11" s="111">
        <v>200</v>
      </c>
      <c r="D11" s="110">
        <f>6.52/250*C11</f>
        <v>5.2160000000000002</v>
      </c>
      <c r="E11" s="110">
        <f>10.4/250*C11</f>
        <v>8.32</v>
      </c>
      <c r="F11" s="110">
        <f>13.9/250*C11</f>
        <v>11.120000000000001</v>
      </c>
      <c r="G11" s="110">
        <f>218.88/250*C11</f>
        <v>175.10399999999998</v>
      </c>
      <c r="H11" s="88"/>
      <c r="I11" s="87"/>
      <c r="J11" s="86"/>
    </row>
    <row r="12" spans="1:10" x14ac:dyDescent="0.25">
      <c r="A12" s="58" t="s">
        <v>88</v>
      </c>
      <c r="B12" s="177" t="s">
        <v>89</v>
      </c>
      <c r="C12" s="58">
        <v>180</v>
      </c>
      <c r="D12" s="52">
        <v>10.62</v>
      </c>
      <c r="E12" s="52">
        <v>6.12</v>
      </c>
      <c r="F12" s="59">
        <v>56.88</v>
      </c>
      <c r="G12" s="52">
        <v>325.08</v>
      </c>
      <c r="H12" s="3"/>
      <c r="I12" s="2"/>
      <c r="J12" s="1"/>
    </row>
    <row r="13" spans="1:10" s="101" customFormat="1" x14ac:dyDescent="0.25">
      <c r="A13" s="58" t="s">
        <v>90</v>
      </c>
      <c r="B13" s="177" t="s">
        <v>91</v>
      </c>
      <c r="C13" s="58">
        <v>100</v>
      </c>
      <c r="D13" s="121">
        <v>7.1</v>
      </c>
      <c r="E13" s="121">
        <v>17</v>
      </c>
      <c r="F13" s="59">
        <v>9.98</v>
      </c>
      <c r="G13" s="121">
        <v>201</v>
      </c>
      <c r="H13" s="88"/>
      <c r="I13" s="87"/>
      <c r="J13" s="86"/>
    </row>
    <row r="14" spans="1:10" s="198" customFormat="1" x14ac:dyDescent="0.25">
      <c r="A14" s="58"/>
      <c r="B14" s="177" t="s">
        <v>98</v>
      </c>
      <c r="C14" s="58">
        <v>100</v>
      </c>
      <c r="D14" s="202">
        <v>2.8</v>
      </c>
      <c r="E14" s="202">
        <v>2.7</v>
      </c>
      <c r="F14" s="59">
        <v>11.5</v>
      </c>
      <c r="G14" s="202">
        <v>53.8</v>
      </c>
      <c r="H14" s="201"/>
      <c r="I14" s="200"/>
      <c r="J14" s="199"/>
    </row>
    <row r="15" spans="1:10" x14ac:dyDescent="0.25">
      <c r="A15" s="18"/>
      <c r="B15" s="19" t="s">
        <v>13</v>
      </c>
      <c r="C15" s="18">
        <v>50</v>
      </c>
      <c r="D15" s="18">
        <f>C15*6.6/100</f>
        <v>3.3</v>
      </c>
      <c r="E15" s="18">
        <f>C15*1.1/100</f>
        <v>0.55000000000000004</v>
      </c>
      <c r="F15" s="18">
        <f>C15*43.9/100</f>
        <v>21.95</v>
      </c>
      <c r="G15" s="18">
        <f t="shared" ref="G15" si="1">F15*4+E15*9+D15*4</f>
        <v>105.95</v>
      </c>
      <c r="H15" s="3"/>
      <c r="I15" s="2"/>
      <c r="J15" s="1"/>
    </row>
    <row r="16" spans="1:10" x14ac:dyDescent="0.25">
      <c r="A16" s="89" t="s">
        <v>35</v>
      </c>
      <c r="B16" s="92" t="s">
        <v>24</v>
      </c>
      <c r="C16" s="89">
        <v>200</v>
      </c>
      <c r="D16" s="90">
        <f>0.2/200*C16</f>
        <v>0.2</v>
      </c>
      <c r="E16" s="91">
        <f>0/200*C16</f>
        <v>0</v>
      </c>
      <c r="F16" s="90">
        <f>14/200*C16</f>
        <v>14.000000000000002</v>
      </c>
      <c r="G16" s="90">
        <f>F16*4+E16*9+D16*4</f>
        <v>56.800000000000004</v>
      </c>
      <c r="H16" s="3"/>
      <c r="I16" s="2"/>
      <c r="J16" s="1"/>
    </row>
    <row r="17" spans="1:10" x14ac:dyDescent="0.25">
      <c r="A17" s="207" t="s">
        <v>19</v>
      </c>
      <c r="B17" s="208"/>
      <c r="C17" s="73">
        <f>SUM(C11:C16)</f>
        <v>830</v>
      </c>
      <c r="D17" s="22">
        <f>SUM(D11:D16)</f>
        <v>29.236000000000001</v>
      </c>
      <c r="E17" s="22">
        <f>SUM(E11:E16)</f>
        <v>34.69</v>
      </c>
      <c r="F17" s="22">
        <f>SUM(F11:F16)</f>
        <v>125.43</v>
      </c>
      <c r="G17" s="21">
        <f>SUM(G11:G16)</f>
        <v>917.73399999999992</v>
      </c>
      <c r="H17" s="3"/>
      <c r="I17" s="2"/>
      <c r="J17" s="1"/>
    </row>
    <row r="18" spans="1:10" x14ac:dyDescent="0.25">
      <c r="A18" s="205"/>
      <c r="B18" s="206"/>
      <c r="C18" s="206"/>
      <c r="D18" s="206"/>
      <c r="E18" s="206"/>
      <c r="F18" s="206"/>
      <c r="G18" s="206"/>
      <c r="H18" s="3"/>
      <c r="I18" s="2"/>
      <c r="J18" s="1"/>
    </row>
    <row r="19" spans="1:10" x14ac:dyDescent="0.25">
      <c r="A19" s="207" t="s">
        <v>17</v>
      </c>
      <c r="B19" s="208"/>
      <c r="C19" s="18"/>
      <c r="D19" s="22">
        <f>D9+D17</f>
        <v>40.222000000000001</v>
      </c>
      <c r="E19" s="22">
        <f>E9+E17</f>
        <v>44.375999999999998</v>
      </c>
      <c r="F19" s="22">
        <f>F9+F17</f>
        <v>169.60400000000001</v>
      </c>
      <c r="G19" s="21">
        <f>G9+G17</f>
        <v>1224.5639999999999</v>
      </c>
      <c r="H19" s="3"/>
      <c r="I19" s="2"/>
      <c r="J19" s="1"/>
    </row>
  </sheetData>
  <mergeCells count="13">
    <mergeCell ref="A1:C1"/>
    <mergeCell ref="D1:G1"/>
    <mergeCell ref="D2:G2"/>
    <mergeCell ref="A19:B19"/>
    <mergeCell ref="A3:A4"/>
    <mergeCell ref="B3:B4"/>
    <mergeCell ref="C3:C4"/>
    <mergeCell ref="D3:F3"/>
    <mergeCell ref="A9:B9"/>
    <mergeCell ref="A10:G10"/>
    <mergeCell ref="A17:B17"/>
    <mergeCell ref="A18:G18"/>
    <mergeCell ref="G3:G4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10" zoomScaleSheetLayoutView="100" workbookViewId="0">
      <selection activeCell="A10" sqref="A10:G10"/>
    </sheetView>
  </sheetViews>
  <sheetFormatPr defaultRowHeight="15" x14ac:dyDescent="0.25"/>
  <cols>
    <col min="1" max="1" width="9.85546875" customWidth="1"/>
    <col min="2" max="2" width="27.140625" customWidth="1"/>
    <col min="3" max="3" width="8" customWidth="1"/>
    <col min="4" max="4" width="7.7109375" customWidth="1"/>
    <col min="5" max="5" width="7" customWidth="1"/>
    <col min="7" max="7" width="9.28515625" customWidth="1"/>
  </cols>
  <sheetData>
    <row r="1" spans="1:10" ht="15.75" x14ac:dyDescent="0.25">
      <c r="A1" s="211"/>
      <c r="B1" s="211"/>
      <c r="C1" s="211"/>
      <c r="D1" s="212"/>
      <c r="E1" s="212"/>
      <c r="F1" s="212"/>
      <c r="G1" s="212"/>
    </row>
    <row r="2" spans="1:10" ht="15.75" x14ac:dyDescent="0.25">
      <c r="A2" s="153" t="s">
        <v>85</v>
      </c>
      <c r="B2" s="153"/>
      <c r="C2" s="69"/>
      <c r="D2" s="213" t="s">
        <v>52</v>
      </c>
      <c r="E2" s="213"/>
      <c r="F2" s="213"/>
      <c r="G2" s="213"/>
    </row>
    <row r="3" spans="1:10" ht="18" customHeight="1" x14ac:dyDescent="0.25">
      <c r="A3" s="214" t="s">
        <v>0</v>
      </c>
      <c r="B3" s="214" t="s">
        <v>1</v>
      </c>
      <c r="C3" s="216" t="s">
        <v>2</v>
      </c>
      <c r="D3" s="218" t="s">
        <v>6</v>
      </c>
      <c r="E3" s="219"/>
      <c r="F3" s="220"/>
      <c r="G3" s="216" t="s">
        <v>61</v>
      </c>
      <c r="H3" s="2"/>
      <c r="I3" s="2"/>
      <c r="J3" s="1"/>
    </row>
    <row r="4" spans="1:10" x14ac:dyDescent="0.25">
      <c r="A4" s="215"/>
      <c r="B4" s="215"/>
      <c r="C4" s="217"/>
      <c r="D4" s="14" t="s">
        <v>3</v>
      </c>
      <c r="E4" s="14" t="s">
        <v>4</v>
      </c>
      <c r="F4" s="14" t="s">
        <v>5</v>
      </c>
      <c r="G4" s="217"/>
      <c r="H4" s="2"/>
      <c r="I4" s="2"/>
      <c r="J4" s="1"/>
    </row>
    <row r="5" spans="1:10" x14ac:dyDescent="0.25">
      <c r="A5" s="15"/>
      <c r="B5" s="16"/>
      <c r="C5" s="16"/>
      <c r="D5" s="16"/>
      <c r="E5" s="16"/>
      <c r="F5" s="17" t="s">
        <v>8</v>
      </c>
      <c r="G5" s="16"/>
      <c r="H5" s="2"/>
      <c r="I5" s="2"/>
      <c r="J5" s="1"/>
    </row>
    <row r="6" spans="1:10" ht="25.5" x14ac:dyDescent="0.25">
      <c r="A6" s="18" t="s">
        <v>46</v>
      </c>
      <c r="B6" s="23" t="s">
        <v>45</v>
      </c>
      <c r="C6" s="18">
        <v>200</v>
      </c>
      <c r="D6" s="20">
        <f>C6*3/100</f>
        <v>6</v>
      </c>
      <c r="E6" s="20">
        <f>C6*4.7/100</f>
        <v>9.4</v>
      </c>
      <c r="F6" s="20">
        <f>C6*15.5/100</f>
        <v>31</v>
      </c>
      <c r="G6" s="20">
        <f>232.6/200*C6</f>
        <v>232.6</v>
      </c>
      <c r="H6" s="3"/>
      <c r="I6" s="2"/>
      <c r="J6" s="1"/>
    </row>
    <row r="7" spans="1:10" x14ac:dyDescent="0.25">
      <c r="A7" s="189" t="s">
        <v>68</v>
      </c>
      <c r="B7" s="188" t="s">
        <v>13</v>
      </c>
      <c r="C7" s="187">
        <v>30</v>
      </c>
      <c r="D7" s="202">
        <f>C7*6.6/100</f>
        <v>1.98</v>
      </c>
      <c r="E7" s="202">
        <f>C7*1.1/100</f>
        <v>0.33</v>
      </c>
      <c r="F7" s="202">
        <f>C7*43.9/100</f>
        <v>13.17</v>
      </c>
      <c r="G7" s="202">
        <f t="shared" ref="G7" si="0">F7*4+E7*9+D7*4</f>
        <v>63.57</v>
      </c>
      <c r="H7" s="3"/>
      <c r="I7" s="2"/>
      <c r="J7" s="1"/>
    </row>
    <row r="8" spans="1:10" x14ac:dyDescent="0.25">
      <c r="A8" s="89" t="s">
        <v>35</v>
      </c>
      <c r="B8" s="92" t="s">
        <v>24</v>
      </c>
      <c r="C8" s="89">
        <v>200</v>
      </c>
      <c r="D8" s="90">
        <f>0.2/200*C8</f>
        <v>0.2</v>
      </c>
      <c r="E8" s="91">
        <f>0/200*C8</f>
        <v>0</v>
      </c>
      <c r="F8" s="90">
        <f>14/200*C8</f>
        <v>14.000000000000002</v>
      </c>
      <c r="G8" s="90">
        <f>F8*4+E8*9+D8*4</f>
        <v>56.800000000000004</v>
      </c>
      <c r="H8" s="3"/>
      <c r="I8" s="2"/>
      <c r="J8" s="1"/>
    </row>
    <row r="9" spans="1:10" x14ac:dyDescent="0.25">
      <c r="A9" s="207" t="s">
        <v>18</v>
      </c>
      <c r="B9" s="208"/>
      <c r="C9" s="21">
        <f>SUM(C6:C8)</f>
        <v>430</v>
      </c>
      <c r="D9" s="21">
        <f>SUM(D6:D8)</f>
        <v>8.18</v>
      </c>
      <c r="E9" s="22">
        <f>SUM(E6:E8)</f>
        <v>9.73</v>
      </c>
      <c r="F9" s="22">
        <f>SUM(F6:F8)</f>
        <v>58.17</v>
      </c>
      <c r="G9" s="22">
        <f>SUM(G6:G8)</f>
        <v>352.97</v>
      </c>
      <c r="H9" s="3"/>
      <c r="I9" s="2" t="s">
        <v>7</v>
      </c>
      <c r="J9" s="1"/>
    </row>
    <row r="10" spans="1:10" x14ac:dyDescent="0.25">
      <c r="A10" s="207" t="s">
        <v>9</v>
      </c>
      <c r="B10" s="209"/>
      <c r="C10" s="209"/>
      <c r="D10" s="209"/>
      <c r="E10" s="209"/>
      <c r="F10" s="209"/>
      <c r="G10" s="209"/>
      <c r="H10" s="3"/>
      <c r="I10" s="2"/>
      <c r="J10" s="1"/>
    </row>
    <row r="11" spans="1:10" x14ac:dyDescent="0.25">
      <c r="A11" s="18"/>
      <c r="H11" s="3"/>
      <c r="I11" s="2"/>
      <c r="J11" s="1"/>
    </row>
    <row r="12" spans="1:10" x14ac:dyDescent="0.25">
      <c r="A12" s="18" t="s">
        <v>86</v>
      </c>
      <c r="B12" s="178" t="s">
        <v>87</v>
      </c>
      <c r="C12" s="18">
        <v>220</v>
      </c>
      <c r="D12" s="20">
        <v>5.45</v>
      </c>
      <c r="E12" s="20">
        <v>4.93</v>
      </c>
      <c r="F12" s="20">
        <v>19.62</v>
      </c>
      <c r="G12" s="20">
        <v>144.66999999999999</v>
      </c>
      <c r="H12" s="3"/>
      <c r="I12" s="2"/>
      <c r="J12" s="10"/>
    </row>
    <row r="13" spans="1:10" x14ac:dyDescent="0.25">
      <c r="A13" s="94" t="s">
        <v>66</v>
      </c>
      <c r="B13" s="93" t="s">
        <v>70</v>
      </c>
      <c r="C13" s="94">
        <v>150</v>
      </c>
      <c r="D13" s="94">
        <f>25.25/250*C13</f>
        <v>15.15</v>
      </c>
      <c r="E13" s="94">
        <f>29.56/250*C13</f>
        <v>17.736000000000001</v>
      </c>
      <c r="F13" s="94">
        <f>86.76/250*C13</f>
        <v>52.056000000000004</v>
      </c>
      <c r="G13" s="94">
        <f>810.72/250*C13</f>
        <v>486.43200000000002</v>
      </c>
      <c r="H13" s="3"/>
      <c r="I13" s="2"/>
      <c r="J13" s="1"/>
    </row>
    <row r="14" spans="1:10" x14ac:dyDescent="0.25">
      <c r="A14" s="18"/>
      <c r="B14" s="19" t="s">
        <v>13</v>
      </c>
      <c r="C14" s="18">
        <v>50</v>
      </c>
      <c r="D14" s="18">
        <f>C14*6.6/100</f>
        <v>3.3</v>
      </c>
      <c r="E14" s="18">
        <f>C14*1.1/100</f>
        <v>0.55000000000000004</v>
      </c>
      <c r="F14" s="18">
        <f>C14*43.9/100</f>
        <v>21.95</v>
      </c>
      <c r="G14" s="18">
        <f>F14*4+E14*9+D14*4</f>
        <v>105.95</v>
      </c>
      <c r="H14" s="3"/>
      <c r="I14" s="2"/>
      <c r="J14" s="1"/>
    </row>
    <row r="15" spans="1:10" x14ac:dyDescent="0.25">
      <c r="A15" s="18" t="s">
        <v>26</v>
      </c>
      <c r="B15" s="19" t="s">
        <v>14</v>
      </c>
      <c r="C15" s="121">
        <v>200</v>
      </c>
      <c r="D15" s="122">
        <f>0.6/200*C15</f>
        <v>0.6</v>
      </c>
      <c r="E15" s="123">
        <f>0/200*C15</f>
        <v>0</v>
      </c>
      <c r="F15" s="122">
        <f>31.4/200*C15</f>
        <v>31.4</v>
      </c>
      <c r="G15" s="123">
        <f>128/200*C15</f>
        <v>128</v>
      </c>
      <c r="H15" s="3"/>
      <c r="I15" s="2"/>
      <c r="J15" s="1"/>
    </row>
    <row r="16" spans="1:10" x14ac:dyDescent="0.25">
      <c r="A16" s="207" t="s">
        <v>19</v>
      </c>
      <c r="B16" s="208"/>
      <c r="C16" s="74">
        <f>SUM(C12:C15)</f>
        <v>620</v>
      </c>
      <c r="D16" s="22">
        <f>SUM(D12:D15)</f>
        <v>24.500000000000004</v>
      </c>
      <c r="E16" s="22">
        <f>SUM(E12:E15)</f>
        <v>23.216000000000001</v>
      </c>
      <c r="F16" s="22">
        <f>SUM(F12:F15)</f>
        <v>125.02600000000001</v>
      </c>
      <c r="G16" s="22">
        <f>SUM(G12:G15)</f>
        <v>865.05200000000002</v>
      </c>
      <c r="H16" s="3"/>
      <c r="I16" s="2"/>
      <c r="J16" s="1"/>
    </row>
    <row r="17" spans="1:10" x14ac:dyDescent="0.25">
      <c r="A17" s="205"/>
      <c r="B17" s="206"/>
      <c r="C17" s="206"/>
      <c r="D17" s="206"/>
      <c r="E17" s="206"/>
      <c r="F17" s="206"/>
      <c r="G17" s="206"/>
      <c r="H17" s="3"/>
      <c r="I17" s="2"/>
      <c r="J17" s="1"/>
    </row>
    <row r="18" spans="1:10" x14ac:dyDescent="0.25">
      <c r="A18" s="207" t="s">
        <v>17</v>
      </c>
      <c r="B18" s="208"/>
      <c r="C18" s="18"/>
      <c r="D18" s="22">
        <f>D9+D16</f>
        <v>32.680000000000007</v>
      </c>
      <c r="E18" s="22">
        <f>E9+E16</f>
        <v>32.945999999999998</v>
      </c>
      <c r="F18" s="22">
        <f>F9+F16</f>
        <v>183.19600000000003</v>
      </c>
      <c r="G18" s="21">
        <f>G9+G16</f>
        <v>1218.0219999999999</v>
      </c>
      <c r="H18" s="3"/>
      <c r="I18" s="2"/>
      <c r="J18" s="1"/>
    </row>
  </sheetData>
  <mergeCells count="13">
    <mergeCell ref="A1:C1"/>
    <mergeCell ref="D1:G1"/>
    <mergeCell ref="D2:G2"/>
    <mergeCell ref="A18:B18"/>
    <mergeCell ref="A3:A4"/>
    <mergeCell ref="B3:B4"/>
    <mergeCell ref="C3:C4"/>
    <mergeCell ref="D3:F3"/>
    <mergeCell ref="A9:B9"/>
    <mergeCell ref="A10:G10"/>
    <mergeCell ref="A16:B16"/>
    <mergeCell ref="A17:G17"/>
    <mergeCell ref="G3:G4"/>
  </mergeCells>
  <pageMargins left="0.51181102362204722" right="0.70866141732283472" top="0.74803149606299213" bottom="0.74803149606299213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  <vt:lpstr>Лист1</vt:lpstr>
      <vt:lpstr>'День 1'!Область_печати</vt:lpstr>
      <vt:lpstr>'День 10'!Область_печати</vt:lpstr>
      <vt:lpstr>'День 11'!Область_печати</vt:lpstr>
      <vt:lpstr>'День 12'!Область_печати</vt:lpstr>
      <vt:lpstr>'День 4'!Область_печати</vt:lpstr>
      <vt:lpstr>'День 5'!Область_печати</vt:lpstr>
      <vt:lpstr>'День 6'!Область_печати</vt:lpstr>
      <vt:lpstr>'День 7'!Область_печати</vt:lpstr>
      <vt:lpstr>'День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2022-12-03T06:42:52Z</dcterms:modified>
</cp:coreProperties>
</file>